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6320" windowHeight="9720" activeTab="1"/>
  </bookViews>
  <sheets>
    <sheet name="A" sheetId="1" r:id="rId1"/>
    <sheet name="Munka1" sheetId="2" r:id="rId2"/>
  </sheets>
  <definedNames>
    <definedName name="ADO">'A'!$A$1:$X$7</definedName>
  </definedNames>
  <calcPr fullCalcOnLoad="1"/>
</workbook>
</file>

<file path=xl/sharedStrings.xml><?xml version="1.0" encoding="utf-8"?>
<sst xmlns="http://schemas.openxmlformats.org/spreadsheetml/2006/main" count="1065" uniqueCount="339">
  <si>
    <t>Gruppe</t>
  </si>
  <si>
    <t>Subgruppe</t>
  </si>
  <si>
    <t>Iparcsoport</t>
  </si>
  <si>
    <t>Szamft</t>
  </si>
  <si>
    <t>Monarchia</t>
  </si>
  <si>
    <t>Bécs város</t>
  </si>
  <si>
    <t>A. Ausztria</t>
  </si>
  <si>
    <t>F. Ausztria</t>
  </si>
  <si>
    <t>Salzburg</t>
  </si>
  <si>
    <t>Steiermark</t>
  </si>
  <si>
    <t>Kärnthen</t>
  </si>
  <si>
    <t>Krain</t>
  </si>
  <si>
    <t>Küstenland</t>
  </si>
  <si>
    <t>Tirol</t>
  </si>
  <si>
    <t>Böhmen</t>
  </si>
  <si>
    <t>Mähren</t>
  </si>
  <si>
    <t>Schlesien</t>
  </si>
  <si>
    <t>Galicia</t>
  </si>
  <si>
    <t>Bukowina</t>
  </si>
  <si>
    <t>Dalmácia</t>
  </si>
  <si>
    <t>Magyaro.</t>
  </si>
  <si>
    <t>Horváto.</t>
  </si>
  <si>
    <t>Erdély</t>
  </si>
  <si>
    <t>Italia</t>
  </si>
  <si>
    <t>Ausztria</t>
  </si>
  <si>
    <t>Pestváros</t>
  </si>
  <si>
    <t>Pest</t>
  </si>
  <si>
    <t>Ofen,város</t>
  </si>
  <si>
    <t>Ofen</t>
  </si>
  <si>
    <t>Erlau</t>
  </si>
  <si>
    <t>Szolnok</t>
  </si>
  <si>
    <t>Szeged</t>
  </si>
  <si>
    <t>Grosswardein</t>
  </si>
  <si>
    <t>Debrecen</t>
  </si>
  <si>
    <t>Szatmár</t>
  </si>
  <si>
    <t>Arad</t>
  </si>
  <si>
    <t>Oedenburg</t>
  </si>
  <si>
    <t>Raab</t>
  </si>
  <si>
    <t>Gross-Kanizsa</t>
  </si>
  <si>
    <t>Fünfkirchen</t>
  </si>
  <si>
    <t>Pressburg</t>
  </si>
  <si>
    <t>Neutra</t>
  </si>
  <si>
    <t>Balassgy.</t>
  </si>
  <si>
    <t>Rosenberg</t>
  </si>
  <si>
    <t>Kassa</t>
  </si>
  <si>
    <t>Eperjes</t>
  </si>
  <si>
    <t>Ungvár</t>
  </si>
  <si>
    <t>Munkács</t>
  </si>
  <si>
    <t>TemesvárV.</t>
  </si>
  <si>
    <t>TemesvárB</t>
  </si>
  <si>
    <t>Lugos</t>
  </si>
  <si>
    <t>Gross-Becskerek</t>
  </si>
  <si>
    <t>Zombor</t>
  </si>
  <si>
    <t>Neusatz</t>
  </si>
  <si>
    <t>Agram</t>
  </si>
  <si>
    <t>Warasd</t>
  </si>
  <si>
    <t>Fiume</t>
  </si>
  <si>
    <t>Eszék</t>
  </si>
  <si>
    <t>Hermannstadt</t>
  </si>
  <si>
    <t>Kronstadt</t>
  </si>
  <si>
    <t>Marosvásárh</t>
  </si>
  <si>
    <t>Bistritz</t>
  </si>
  <si>
    <t>Klausenbg</t>
  </si>
  <si>
    <t>Broos</t>
  </si>
  <si>
    <t>M. korona</t>
  </si>
  <si>
    <t>I. 1.</t>
  </si>
  <si>
    <t>Motoren, Maschinen</t>
  </si>
  <si>
    <t>Gépgyártás</t>
  </si>
  <si>
    <t>Anzahl</t>
  </si>
  <si>
    <t>I. Gruppe</t>
  </si>
  <si>
    <t>Gulden</t>
  </si>
  <si>
    <t>I.2.</t>
  </si>
  <si>
    <t>Instrumente</t>
  </si>
  <si>
    <t>Mûszer, hangszer</t>
  </si>
  <si>
    <t>I.3.</t>
  </si>
  <si>
    <t>Transportmitteln</t>
  </si>
  <si>
    <t>Közlekedési eszk.</t>
  </si>
  <si>
    <t>Wagner</t>
  </si>
  <si>
    <t>Kocsigyártó, bognár</t>
  </si>
  <si>
    <t>II.1</t>
  </si>
  <si>
    <t>Eisen und Eisenwaren</t>
  </si>
  <si>
    <t>Vas és vasáru</t>
  </si>
  <si>
    <t>Schmiede</t>
  </si>
  <si>
    <t>Kovácsok</t>
  </si>
  <si>
    <t>Sclosser</t>
  </si>
  <si>
    <t>Lakatosok</t>
  </si>
  <si>
    <t>II.2</t>
  </si>
  <si>
    <t>Metallwaren</t>
  </si>
  <si>
    <t>Egyéb fémáru</t>
  </si>
  <si>
    <t>II. 3.</t>
  </si>
  <si>
    <t>Edler Metallwaren</t>
  </si>
  <si>
    <t>Nemesfém áruk</t>
  </si>
  <si>
    <t>II.4.</t>
  </si>
  <si>
    <t>Legur-Waren</t>
  </si>
  <si>
    <t>Egyéb fémáruk</t>
  </si>
  <si>
    <t>Spengler, Klempner</t>
  </si>
  <si>
    <t>Bádogos</t>
  </si>
  <si>
    <t>II. Gruppe</t>
  </si>
  <si>
    <t>III. 1.</t>
  </si>
  <si>
    <t>Thonwaaren</t>
  </si>
  <si>
    <t>Agyagáruk</t>
  </si>
  <si>
    <t>Hafner und Töpfer</t>
  </si>
  <si>
    <t>Fazekasok</t>
  </si>
  <si>
    <t>III. 2.</t>
  </si>
  <si>
    <t>Glas und Glaswaaren</t>
  </si>
  <si>
    <t>Üveg, üvegáruk</t>
  </si>
  <si>
    <t xml:space="preserve">III. 3. </t>
  </si>
  <si>
    <t>Sonstige</t>
  </si>
  <si>
    <t>Egyéb kõ- és föld</t>
  </si>
  <si>
    <t>III. Gruppe</t>
  </si>
  <si>
    <t>IV. 1.</t>
  </si>
  <si>
    <t>Chemikalien</t>
  </si>
  <si>
    <t>Vegyi anyagok</t>
  </si>
  <si>
    <t>Apotheker</t>
  </si>
  <si>
    <t>Gyógyszerészak</t>
  </si>
  <si>
    <t>IV. 2.</t>
  </si>
  <si>
    <t>Fettwaaren, Leucht- u. Zündstoffen</t>
  </si>
  <si>
    <t>Zsiradékok, világítás</t>
  </si>
  <si>
    <t>Seifensieder</t>
  </si>
  <si>
    <t>Szappanfõzõk</t>
  </si>
  <si>
    <t>Gasbeleutung</t>
  </si>
  <si>
    <t>Gázvilágítás</t>
  </si>
  <si>
    <t>IV. 3.</t>
  </si>
  <si>
    <t>Farbwaaren</t>
  </si>
  <si>
    <t>Festékáruk</t>
  </si>
  <si>
    <t xml:space="preserve">IV. 4.    </t>
  </si>
  <si>
    <t>Sonstige chem. Stoffe</t>
  </si>
  <si>
    <t>Egyéb vegyi anyagok</t>
  </si>
  <si>
    <t>IV. Gruppe</t>
  </si>
  <si>
    <t>V.1</t>
  </si>
  <si>
    <t>Animalische Nahrungsstoffe</t>
  </si>
  <si>
    <t>Állati élelmiszerek</t>
  </si>
  <si>
    <t>Fleischselcher</t>
  </si>
  <si>
    <t>Hentes, mészáros</t>
  </si>
  <si>
    <t>Összesen</t>
  </si>
  <si>
    <t xml:space="preserve">V. 2. </t>
  </si>
  <si>
    <t>Vegetabilische Nahrungsstoffe</t>
  </si>
  <si>
    <t>Növényi élelmiszerek</t>
  </si>
  <si>
    <t>Gesrten-Mahler</t>
  </si>
  <si>
    <t>Árpa-darálók</t>
  </si>
  <si>
    <t>Müller</t>
  </si>
  <si>
    <t>Molnárok</t>
  </si>
  <si>
    <t>Dampf- u. Kunstmühlen</t>
  </si>
  <si>
    <t>Gõz- és mûmalmok</t>
  </si>
  <si>
    <t>Pest 8326</t>
  </si>
  <si>
    <t>Bäcker</t>
  </si>
  <si>
    <t>Pékek</t>
  </si>
  <si>
    <t>Mehlspeismacher</t>
  </si>
  <si>
    <t>Tésztakészítõk</t>
  </si>
  <si>
    <t>Zucker-Fabriken</t>
  </si>
  <si>
    <t>Cukorgyárak</t>
  </si>
  <si>
    <t>Gyõr 7826</t>
  </si>
  <si>
    <t>Zuckersieder</t>
  </si>
  <si>
    <t>Cukorfõzõk</t>
  </si>
  <si>
    <t>Kaffee-Surrogat</t>
  </si>
  <si>
    <t>Pótkávé</t>
  </si>
  <si>
    <t>Chocolade-Fabriken</t>
  </si>
  <si>
    <t>Csokoládégyárak</t>
  </si>
  <si>
    <t>Zuckerbäcker</t>
  </si>
  <si>
    <t>Cukrászok</t>
  </si>
  <si>
    <t>Gewürzzelter</t>
  </si>
  <si>
    <t>Mandolettibäcker</t>
  </si>
  <si>
    <t>Hohlhippenbäcker</t>
  </si>
  <si>
    <t>Kuchenbäcker</t>
  </si>
  <si>
    <t>Lebzelter</t>
  </si>
  <si>
    <t>Mézeskalácsos</t>
  </si>
  <si>
    <t>V. 2.</t>
  </si>
  <si>
    <t>V. 3.</t>
  </si>
  <si>
    <t>Geträmke</t>
  </si>
  <si>
    <t>Italok</t>
  </si>
  <si>
    <t>Bierbrauer</t>
  </si>
  <si>
    <t>Sörfõzõk</t>
  </si>
  <si>
    <t>Malz-Erzeuger</t>
  </si>
  <si>
    <t>Champagner Wein</t>
  </si>
  <si>
    <t>Pezsgõ</t>
  </si>
  <si>
    <t>Spiritusfabriken</t>
  </si>
  <si>
    <t>Spirituszgyárak</t>
  </si>
  <si>
    <t>Branntwein</t>
  </si>
  <si>
    <t>Szeszfõzõk</t>
  </si>
  <si>
    <t>Essig-Sieder</t>
  </si>
  <si>
    <t>Ecetgyárak</t>
  </si>
  <si>
    <t>V. Gruppe</t>
  </si>
  <si>
    <t>VI. 1.</t>
  </si>
  <si>
    <t>Seide</t>
  </si>
  <si>
    <t>Selyemipar</t>
  </si>
  <si>
    <t xml:space="preserve">VI. 2. </t>
  </si>
  <si>
    <t>Schafwolle</t>
  </si>
  <si>
    <t>Gyapjúipar</t>
  </si>
  <si>
    <t>VI. 2.</t>
  </si>
  <si>
    <t>Tuchmacher</t>
  </si>
  <si>
    <t>Posztós</t>
  </si>
  <si>
    <t xml:space="preserve">VI. 3. </t>
  </si>
  <si>
    <t>Flachs, Hanf</t>
  </si>
  <si>
    <t>Len- és kenderipar</t>
  </si>
  <si>
    <t>Seiler</t>
  </si>
  <si>
    <t>Kötélverõ</t>
  </si>
  <si>
    <t>Leinen-Weber</t>
  </si>
  <si>
    <t>Takács</t>
  </si>
  <si>
    <t>VI. 3.</t>
  </si>
  <si>
    <t>VI. 4.</t>
  </si>
  <si>
    <t>Baumeolle</t>
  </si>
  <si>
    <t>Pamutipar</t>
  </si>
  <si>
    <t>Baumwolle</t>
  </si>
  <si>
    <t>Baumwollweber</t>
  </si>
  <si>
    <t>Färber</t>
  </si>
  <si>
    <t>Festõ</t>
  </si>
  <si>
    <t>VI. 5.</t>
  </si>
  <si>
    <t>Erzeuger</t>
  </si>
  <si>
    <t>Textiláruk</t>
  </si>
  <si>
    <t>Strumpfwirker</t>
  </si>
  <si>
    <t>Harisnyakötõ</t>
  </si>
  <si>
    <t>Schnünmacher</t>
  </si>
  <si>
    <t>Tapezirer</t>
  </si>
  <si>
    <t>VI. 6.</t>
  </si>
  <si>
    <t>Verfertiger</t>
  </si>
  <si>
    <t>Textilfeldolgozó</t>
  </si>
  <si>
    <t>VI. 6</t>
  </si>
  <si>
    <t>Schirmmacher</t>
  </si>
  <si>
    <t>Ernyõkészítõ</t>
  </si>
  <si>
    <t>Weissnätherinnen</t>
  </si>
  <si>
    <t>Schneider</t>
  </si>
  <si>
    <t>Szabó</t>
  </si>
  <si>
    <t>Gubamacher</t>
  </si>
  <si>
    <t>Gubás</t>
  </si>
  <si>
    <t>Modistinen</t>
  </si>
  <si>
    <t>Divatáru</t>
  </si>
  <si>
    <t>Kappenmacher</t>
  </si>
  <si>
    <t xml:space="preserve">Vi. 6. </t>
  </si>
  <si>
    <t>VI. Gruppe</t>
  </si>
  <si>
    <t>VII. 1.</t>
  </si>
  <si>
    <t>Leder</t>
  </si>
  <si>
    <t>Bõr és bõráru</t>
  </si>
  <si>
    <t>Lederer, Rothgärber</t>
  </si>
  <si>
    <t>Tímár</t>
  </si>
  <si>
    <t>Weissgärber</t>
  </si>
  <si>
    <t>Schuhmacher</t>
  </si>
  <si>
    <t>Cipész</t>
  </si>
  <si>
    <t>Czismenmacher</t>
  </si>
  <si>
    <t>Szimadia</t>
  </si>
  <si>
    <t>Riemer</t>
  </si>
  <si>
    <t>Szíjgyártó</t>
  </si>
  <si>
    <t>Sattler</t>
  </si>
  <si>
    <t>Nyerges</t>
  </si>
  <si>
    <t>Handschuhmacher</t>
  </si>
  <si>
    <t>Keztyûs</t>
  </si>
  <si>
    <t>VII. 2.</t>
  </si>
  <si>
    <t>Pelzwerk</t>
  </si>
  <si>
    <t>Szörmeáru</t>
  </si>
  <si>
    <t>Kürschner</t>
  </si>
  <si>
    <t>Szûcs</t>
  </si>
  <si>
    <t>Hutmacher</t>
  </si>
  <si>
    <t>Kalapos</t>
  </si>
  <si>
    <t>VII. 3.</t>
  </si>
  <si>
    <t>Papier</t>
  </si>
  <si>
    <t>Papiripar</t>
  </si>
  <si>
    <t>Buchbinder</t>
  </si>
  <si>
    <t>Könyvkötõ</t>
  </si>
  <si>
    <t>VII. 4.</t>
  </si>
  <si>
    <t>Stroh, Kautschuk</t>
  </si>
  <si>
    <t>Szalma, kaucsuk</t>
  </si>
  <si>
    <t>VII. 5.</t>
  </si>
  <si>
    <t>Holz</t>
  </si>
  <si>
    <t>Faipar</t>
  </si>
  <si>
    <t>Brettersägen</t>
  </si>
  <si>
    <t>Fûrész</t>
  </si>
  <si>
    <t>Tischler</t>
  </si>
  <si>
    <t>Asztalos</t>
  </si>
  <si>
    <t>Binder</t>
  </si>
  <si>
    <t>Kádár</t>
  </si>
  <si>
    <t>Drechsler</t>
  </si>
  <si>
    <t>Esztergályos</t>
  </si>
  <si>
    <t>VIII. 1.</t>
  </si>
  <si>
    <t>Baugewerbe</t>
  </si>
  <si>
    <t>Építõipar</t>
  </si>
  <si>
    <t>Maurermeister</t>
  </si>
  <si>
    <t>Kõmûves</t>
  </si>
  <si>
    <t>Zimmermeister</t>
  </si>
  <si>
    <t>Ács</t>
  </si>
  <si>
    <t>VIII. 2.</t>
  </si>
  <si>
    <t>Kunstgewerbe</t>
  </si>
  <si>
    <t>Mûipar</t>
  </si>
  <si>
    <t>GULD/ANZ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</si>
  <si>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</si>
  <si>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</si>
  <si>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</si>
  <si>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</si>
  <si>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</si>
  <si>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</si>
  <si>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</si>
  <si>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</si>
  <si>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</si>
  <si>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</si>
  <si>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</si>
  <si>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</si>
  <si>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</si>
  <si>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</si>
  <si>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M0</t>
  </si>
  <si>
    <t>M8</t>
  </si>
  <si>
    <t>M7</t>
  </si>
  <si>
    <t>C17</t>
  </si>
  <si>
    <t>C00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</si>
  <si>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</si>
  <si>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</si>
  <si>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</si>
  <si>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</si>
  <si>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</si>
  <si>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</si>
  <si>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</si>
  <si>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</si>
  <si>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</si>
  <si>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</si>
  <si>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</si>
  <si>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</si>
  <si>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</si>
  <si>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</si>
  <si>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</si>
  <si>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</si>
  <si>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</si>
  <si>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</si>
  <si>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</si>
  <si>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</si>
  <si>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</si>
  <si>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</si>
  <si>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</si>
  <si>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</si>
  <si>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</si>
  <si>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</si>
  <si>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</si>
  <si>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</si>
  <si>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</si>
  <si>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</si>
  <si>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 xml:space="preserve">Fiume </t>
  </si>
  <si>
    <t>Temesvár együtt</t>
  </si>
  <si>
    <t>X1</t>
  </si>
  <si>
    <t>X2</t>
  </si>
  <si>
    <t>X3</t>
  </si>
  <si>
    <t>X4</t>
  </si>
  <si>
    <t>X5</t>
  </si>
  <si>
    <t>X6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</si>
</sst>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_)"/>
    <numFmt numFmtId="165" formatCode="0_)"/>
  </numFmts>
  <fonts count="41"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u val="single"/>
      <sz val="12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192"/>
  <sheetViews>
    <sheetView defaultGridColor="0" zoomScale="87" zoomScaleNormal="87" zoomScalePageLayoutView="0" colorId="22" workbookViewId="0" topLeftCell="A1">
      <pane xSplit="4" ySplit="1" topLeftCell="BV21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CD226"/>
    </sheetView>
  </sheetViews>
  <sheetFormatPr defaultColWidth="9.59765625" defaultRowHeight="15"/>
  <cols>
    <col min="1" max="1" width="7.69921875" style="15" customWidth="1"/>
    <col min="2" max="2" width="31.3984375" style="0" customWidth="1"/>
    <col min="3" max="3" width="23" style="0" customWidth="1"/>
    <col min="4" max="4" width="9.5" style="0" customWidth="1"/>
    <col min="5" max="5" width="12.3984375" style="0" customWidth="1"/>
    <col min="6" max="6" width="9.59765625" style="0" customWidth="1"/>
    <col min="7" max="7" width="10.8984375" style="0" customWidth="1"/>
    <col min="8" max="8" width="10.59765625" style="0" customWidth="1"/>
    <col min="9" max="9" width="10.8984375" style="0" customWidth="1"/>
    <col min="10" max="10" width="10.5" style="0" customWidth="1"/>
    <col min="11" max="11" width="10.3984375" style="0" customWidth="1"/>
  </cols>
  <sheetData>
    <row r="1" spans="1:256" ht="15.75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4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20</v>
      </c>
      <c r="BO1" s="1" t="s">
        <v>21</v>
      </c>
      <c r="BP1" s="1" t="s">
        <v>22</v>
      </c>
      <c r="BQ1" s="1" t="s">
        <v>64</v>
      </c>
      <c r="BR1" s="1" t="s">
        <v>20</v>
      </c>
      <c r="BS1" s="1" t="s">
        <v>21</v>
      </c>
      <c r="BT1" s="1" t="s">
        <v>22</v>
      </c>
      <c r="BU1" s="1" t="s">
        <v>64</v>
      </c>
      <c r="BV1" s="1"/>
      <c r="BW1" s="1" t="s">
        <v>20</v>
      </c>
      <c r="BX1" s="1" t="s">
        <v>21</v>
      </c>
      <c r="BY1" s="1" t="s">
        <v>22</v>
      </c>
      <c r="BZ1" s="1" t="s">
        <v>64</v>
      </c>
      <c r="CA1" s="1" t="s">
        <v>20</v>
      </c>
      <c r="CB1" s="1" t="s">
        <v>21</v>
      </c>
      <c r="CC1" s="1" t="s">
        <v>22</v>
      </c>
      <c r="CD1" s="1" t="s">
        <v>64</v>
      </c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82" ht="15.75">
      <c r="A2" s="15" t="s">
        <v>65</v>
      </c>
      <c r="B2" t="s">
        <v>66</v>
      </c>
      <c r="C2" t="s">
        <v>67</v>
      </c>
      <c r="D2" t="s">
        <v>68</v>
      </c>
      <c r="E2">
        <v>940</v>
      </c>
      <c r="G2">
        <v>206</v>
      </c>
      <c r="H2">
        <v>45</v>
      </c>
      <c r="I2">
        <v>18</v>
      </c>
      <c r="J2">
        <v>35</v>
      </c>
      <c r="L2">
        <v>5</v>
      </c>
      <c r="M2">
        <v>2</v>
      </c>
      <c r="N2">
        <v>12</v>
      </c>
      <c r="O2">
        <v>273</v>
      </c>
      <c r="P2">
        <v>111</v>
      </c>
      <c r="Q2">
        <v>42</v>
      </c>
      <c r="R2">
        <v>9</v>
      </c>
      <c r="S2">
        <v>2</v>
      </c>
      <c r="U2">
        <v>131</v>
      </c>
      <c r="V2">
        <v>16</v>
      </c>
      <c r="W2">
        <v>4</v>
      </c>
      <c r="X2">
        <v>29</v>
      </c>
      <c r="Y2">
        <f aca="true" t="shared" si="0" ref="Y2:Y7">SUM(G2:X2)</f>
        <v>940</v>
      </c>
      <c r="Z2">
        <f aca="true" t="shared" si="1" ref="Z2:Z7">SUM(G2:T2)</f>
        <v>760</v>
      </c>
      <c r="AA2">
        <v>26</v>
      </c>
      <c r="AB2">
        <f>1+3+10+1+3</f>
        <v>18</v>
      </c>
      <c r="AD2">
        <v>3</v>
      </c>
      <c r="AE2">
        <v>2</v>
      </c>
      <c r="AG2">
        <v>1</v>
      </c>
      <c r="AH2">
        <v>4</v>
      </c>
      <c r="AK2">
        <f>2+34</f>
        <v>36</v>
      </c>
      <c r="AL2">
        <v>2</v>
      </c>
      <c r="AM2">
        <v>2</v>
      </c>
      <c r="AN2">
        <v>2</v>
      </c>
      <c r="AO2">
        <f>3+1</f>
        <v>4</v>
      </c>
      <c r="AP2">
        <f>8+1+2+2</f>
        <v>13</v>
      </c>
      <c r="AQ2">
        <f>3+3</f>
        <v>6</v>
      </c>
      <c r="AT2">
        <v>4</v>
      </c>
      <c r="AU2">
        <v>1</v>
      </c>
      <c r="AV2">
        <v>1</v>
      </c>
      <c r="AY2">
        <v>2</v>
      </c>
      <c r="BA2">
        <v>1</v>
      </c>
      <c r="BB2">
        <v>1</v>
      </c>
      <c r="BC2">
        <f>1+1</f>
        <v>2</v>
      </c>
      <c r="BD2">
        <v>1</v>
      </c>
      <c r="BE2">
        <v>1</v>
      </c>
      <c r="BG2">
        <f>5+1+8</f>
        <v>14</v>
      </c>
      <c r="BI2">
        <v>3</v>
      </c>
      <c r="BL2">
        <v>1</v>
      </c>
      <c r="BN2">
        <f aca="true" t="shared" si="2" ref="BN2:BN9">SUM(AA2:BC2)</f>
        <v>131</v>
      </c>
      <c r="BO2">
        <f aca="true" t="shared" si="3" ref="BO2:BO9">SUM(BD2:BG2)</f>
        <v>16</v>
      </c>
      <c r="BP2">
        <f>SUM(BH2:BM2)</f>
        <v>4</v>
      </c>
      <c r="BQ2">
        <f aca="true" t="shared" si="4" ref="BQ2:BQ9">SUM(BN2:BP2)</f>
        <v>151</v>
      </c>
      <c r="BR2" s="3">
        <f aca="true" t="shared" si="5" ref="BR2:BT3">BN2+BN4+BN6+BN8</f>
        <v>5142</v>
      </c>
      <c r="BS2" s="3">
        <f t="shared" si="5"/>
        <v>435</v>
      </c>
      <c r="BT2" s="3">
        <f t="shared" si="5"/>
        <v>207</v>
      </c>
      <c r="BU2" s="4">
        <f>SUM(BR2:BT2)</f>
        <v>5784</v>
      </c>
      <c r="BV2" s="3" t="s">
        <v>69</v>
      </c>
      <c r="BW2" s="2">
        <f aca="true" t="shared" si="6" ref="BW2:CD2">BN3/BN2</f>
        <v>21.00763358778626</v>
      </c>
      <c r="BX2" s="2">
        <f t="shared" si="6"/>
        <v>4.125</v>
      </c>
      <c r="BY2" s="2">
        <f t="shared" si="6"/>
        <v>71.25</v>
      </c>
      <c r="BZ2" s="5">
        <f t="shared" si="6"/>
        <v>20.549668874172184</v>
      </c>
      <c r="CA2" s="6">
        <f t="shared" si="6"/>
        <v>4.687475690392843</v>
      </c>
      <c r="CB2" s="6">
        <f t="shared" si="6"/>
        <v>3.197701149425287</v>
      </c>
      <c r="CC2" s="6">
        <f t="shared" si="6"/>
        <v>9.420289855072463</v>
      </c>
      <c r="CD2" s="7">
        <f t="shared" si="6"/>
        <v>4.744813278008299</v>
      </c>
    </row>
    <row r="3" spans="4:82" ht="15.75">
      <c r="D3" t="s">
        <v>70</v>
      </c>
      <c r="E3">
        <v>45970</v>
      </c>
      <c r="G3">
        <v>21894</v>
      </c>
      <c r="H3">
        <v>384</v>
      </c>
      <c r="I3">
        <v>71</v>
      </c>
      <c r="J3">
        <v>267</v>
      </c>
      <c r="L3">
        <v>33</v>
      </c>
      <c r="M3">
        <v>4161</v>
      </c>
      <c r="N3">
        <v>208</v>
      </c>
      <c r="O3">
        <v>10939</v>
      </c>
      <c r="P3">
        <v>2873</v>
      </c>
      <c r="Q3">
        <v>1674</v>
      </c>
      <c r="R3">
        <v>362</v>
      </c>
      <c r="S3">
        <v>34</v>
      </c>
      <c r="U3">
        <v>2752</v>
      </c>
      <c r="V3">
        <v>66</v>
      </c>
      <c r="W3">
        <v>42</v>
      </c>
      <c r="X3">
        <v>210</v>
      </c>
      <c r="Y3">
        <f t="shared" si="0"/>
        <v>45970</v>
      </c>
      <c r="Z3">
        <f t="shared" si="1"/>
        <v>42900</v>
      </c>
      <c r="AA3">
        <v>1660</v>
      </c>
      <c r="AB3">
        <f>32+53+134+2+20</f>
        <v>241</v>
      </c>
      <c r="AD3">
        <v>15</v>
      </c>
      <c r="AE3">
        <v>45</v>
      </c>
      <c r="AG3">
        <v>63</v>
      </c>
      <c r="AH3">
        <v>29</v>
      </c>
      <c r="AK3">
        <f>32+99</f>
        <v>131</v>
      </c>
      <c r="AL3">
        <v>97</v>
      </c>
      <c r="AM3">
        <v>125</v>
      </c>
      <c r="AN3">
        <v>39</v>
      </c>
      <c r="AO3">
        <f>98+42</f>
        <v>140</v>
      </c>
      <c r="AP3">
        <f>17+1+5+33</f>
        <v>56</v>
      </c>
      <c r="AQ3">
        <f>62+8</f>
        <v>70</v>
      </c>
      <c r="AT3">
        <v>7</v>
      </c>
      <c r="AU3">
        <v>12</v>
      </c>
      <c r="AV3">
        <v>3</v>
      </c>
      <c r="AY3">
        <v>12</v>
      </c>
      <c r="BA3">
        <v>2</v>
      </c>
      <c r="BB3">
        <v>1</v>
      </c>
      <c r="BC3">
        <f>2+2</f>
        <v>4</v>
      </c>
      <c r="BD3">
        <v>2</v>
      </c>
      <c r="BE3">
        <v>2</v>
      </c>
      <c r="BG3">
        <f>45+6+11</f>
        <v>62</v>
      </c>
      <c r="BI3">
        <v>26</v>
      </c>
      <c r="BL3">
        <v>16</v>
      </c>
      <c r="BN3">
        <f t="shared" si="2"/>
        <v>2752</v>
      </c>
      <c r="BO3">
        <f t="shared" si="3"/>
        <v>66</v>
      </c>
      <c r="BP3">
        <f>BM3+BM5+BM7+BM9</f>
        <v>285</v>
      </c>
      <c r="BQ3">
        <f t="shared" si="4"/>
        <v>3103</v>
      </c>
      <c r="BR3" s="3">
        <f t="shared" si="5"/>
        <v>24103</v>
      </c>
      <c r="BS3" s="3">
        <f t="shared" si="5"/>
        <v>1391</v>
      </c>
      <c r="BT3" s="3">
        <f t="shared" si="5"/>
        <v>1950</v>
      </c>
      <c r="BU3" s="4">
        <f>SUM(BR3:BT3)</f>
        <v>27444</v>
      </c>
      <c r="BV3" s="3"/>
      <c r="BZ3" s="8"/>
      <c r="CD3" s="8"/>
    </row>
    <row r="4" spans="1:82" ht="15.75">
      <c r="A4" s="15" t="s">
        <v>71</v>
      </c>
      <c r="B4" t="s">
        <v>72</v>
      </c>
      <c r="C4" t="s">
        <v>73</v>
      </c>
      <c r="D4" t="s">
        <v>68</v>
      </c>
      <c r="E4">
        <v>4991</v>
      </c>
      <c r="G4">
        <v>1321</v>
      </c>
      <c r="H4">
        <v>307</v>
      </c>
      <c r="I4">
        <v>86</v>
      </c>
      <c r="J4">
        <v>306</v>
      </c>
      <c r="K4">
        <v>86</v>
      </c>
      <c r="L4">
        <v>26</v>
      </c>
      <c r="M4">
        <v>41</v>
      </c>
      <c r="N4">
        <v>200</v>
      </c>
      <c r="O4">
        <v>1053</v>
      </c>
      <c r="P4">
        <v>312</v>
      </c>
      <c r="Q4">
        <v>61</v>
      </c>
      <c r="R4">
        <v>203</v>
      </c>
      <c r="S4">
        <v>20</v>
      </c>
      <c r="T4">
        <v>7</v>
      </c>
      <c r="U4">
        <v>617</v>
      </c>
      <c r="V4">
        <v>45</v>
      </c>
      <c r="W4">
        <v>43</v>
      </c>
      <c r="X4">
        <v>257</v>
      </c>
      <c r="Y4">
        <f t="shared" si="0"/>
        <v>4991</v>
      </c>
      <c r="Z4">
        <f t="shared" si="1"/>
        <v>4029</v>
      </c>
      <c r="AB4">
        <f>70+2+8+11+5+4+3+23+4+9</f>
        <v>139</v>
      </c>
      <c r="AD4">
        <f>16+1+2</f>
        <v>19</v>
      </c>
      <c r="AE4">
        <f>12+2+2</f>
        <v>16</v>
      </c>
      <c r="AF4">
        <v>17</v>
      </c>
      <c r="AG4">
        <f>14+2</f>
        <v>16</v>
      </c>
      <c r="AH4">
        <f>10+1+1</f>
        <v>12</v>
      </c>
      <c r="AI4">
        <v>9</v>
      </c>
      <c r="AJ4">
        <f>10+1+1</f>
        <v>12</v>
      </c>
      <c r="AK4">
        <f>18+1+1+5</f>
        <v>25</v>
      </c>
      <c r="AL4">
        <f>36+2+2+4</f>
        <v>44</v>
      </c>
      <c r="AM4">
        <f>20+3+1</f>
        <v>24</v>
      </c>
      <c r="AN4">
        <f>19+1</f>
        <v>20</v>
      </c>
      <c r="AO4">
        <f>19+1+4</f>
        <v>24</v>
      </c>
      <c r="AP4">
        <f>31+2+1+4+10+3+4</f>
        <v>55</v>
      </c>
      <c r="AQ4">
        <f>8+19</f>
        <v>27</v>
      </c>
      <c r="AR4">
        <f>16+1+2</f>
        <v>19</v>
      </c>
      <c r="AS4">
        <f>19+1</f>
        <v>20</v>
      </c>
      <c r="AT4">
        <f>13+4+1+1+3+1</f>
        <v>23</v>
      </c>
      <c r="AU4">
        <v>8</v>
      </c>
      <c r="AV4">
        <v>2</v>
      </c>
      <c r="AW4">
        <v>3</v>
      </c>
      <c r="AX4">
        <f>3+1</f>
        <v>4</v>
      </c>
      <c r="AY4">
        <f>24+1+1+1</f>
        <v>27</v>
      </c>
      <c r="AZ4">
        <v>6</v>
      </c>
      <c r="BA4">
        <f>12+1</f>
        <v>13</v>
      </c>
      <c r="BB4">
        <f>1+12+1+2+2</f>
        <v>18</v>
      </c>
      <c r="BC4">
        <f>13+1+1</f>
        <v>15</v>
      </c>
      <c r="BD4">
        <f>15+3+1+3</f>
        <v>22</v>
      </c>
      <c r="BE4">
        <f>5+2</f>
        <v>7</v>
      </c>
      <c r="BF4">
        <v>2</v>
      </c>
      <c r="BG4">
        <f>13+1</f>
        <v>14</v>
      </c>
      <c r="BH4">
        <v>17</v>
      </c>
      <c r="BI4">
        <f>5+1</f>
        <v>6</v>
      </c>
      <c r="BJ4">
        <f>2+1+1</f>
        <v>4</v>
      </c>
      <c r="BK4">
        <v>5</v>
      </c>
      <c r="BL4">
        <v>6</v>
      </c>
      <c r="BM4">
        <v>5</v>
      </c>
      <c r="BN4">
        <f t="shared" si="2"/>
        <v>617</v>
      </c>
      <c r="BO4">
        <f t="shared" si="3"/>
        <v>45</v>
      </c>
      <c r="BP4">
        <f aca="true" t="shared" si="7" ref="BP4:BP9">SUM(BH4:BM4)</f>
        <v>43</v>
      </c>
      <c r="BQ4">
        <f t="shared" si="4"/>
        <v>705</v>
      </c>
      <c r="BU4" s="8"/>
      <c r="BW4" s="2">
        <f>BN5/BN4</f>
        <v>8.291734197730957</v>
      </c>
      <c r="BX4" s="2">
        <f>BO5/BO4</f>
        <v>6.711111111111111</v>
      </c>
      <c r="BY4" s="2">
        <f>BP5/BP4</f>
        <v>9.44186046511628</v>
      </c>
      <c r="BZ4" s="5">
        <f>BQ5/BQ4</f>
        <v>8.260992907801418</v>
      </c>
      <c r="CA4" s="2"/>
      <c r="CB4" s="2"/>
      <c r="CC4" s="2"/>
      <c r="CD4" s="5"/>
    </row>
    <row r="5" spans="4:82" ht="15.75">
      <c r="D5" t="s">
        <v>70</v>
      </c>
      <c r="E5">
        <v>56923</v>
      </c>
      <c r="G5">
        <v>27967</v>
      </c>
      <c r="H5">
        <v>1933</v>
      </c>
      <c r="I5">
        <v>655</v>
      </c>
      <c r="J5">
        <v>2449</v>
      </c>
      <c r="K5">
        <v>471</v>
      </c>
      <c r="L5">
        <v>324</v>
      </c>
      <c r="M5">
        <v>830</v>
      </c>
      <c r="N5">
        <v>898</v>
      </c>
      <c r="O5">
        <v>6761</v>
      </c>
      <c r="P5">
        <v>2805</v>
      </c>
      <c r="Q5">
        <v>326</v>
      </c>
      <c r="R5">
        <v>2200</v>
      </c>
      <c r="S5">
        <v>161</v>
      </c>
      <c r="T5">
        <v>66</v>
      </c>
      <c r="U5">
        <v>5116</v>
      </c>
      <c r="V5">
        <v>302</v>
      </c>
      <c r="W5">
        <v>406</v>
      </c>
      <c r="X5">
        <v>3253</v>
      </c>
      <c r="Y5">
        <f t="shared" si="0"/>
        <v>56923</v>
      </c>
      <c r="Z5">
        <f t="shared" si="1"/>
        <v>47846</v>
      </c>
      <c r="AB5">
        <f>825+8+68+123+36+18+9+335+16+78</f>
        <v>1516</v>
      </c>
      <c r="AD5">
        <f>129+15+9</f>
        <v>153</v>
      </c>
      <c r="AE5">
        <f>138+12+8</f>
        <v>158</v>
      </c>
      <c r="AF5">
        <v>125</v>
      </c>
      <c r="AG5">
        <f>184+32</f>
        <v>216</v>
      </c>
      <c r="AH5">
        <f>52+2+6</f>
        <v>60</v>
      </c>
      <c r="AI5">
        <v>280</v>
      </c>
      <c r="AJ5">
        <f>89+28+14</f>
        <v>131</v>
      </c>
      <c r="AK5">
        <f>168+13+20+16</f>
        <v>217</v>
      </c>
      <c r="AL5">
        <f>173+19+16+22</f>
        <v>230</v>
      </c>
      <c r="AM5">
        <f>187+24+20</f>
        <v>231</v>
      </c>
      <c r="AN5">
        <f>82+2</f>
        <v>84</v>
      </c>
      <c r="AO5">
        <f>240+27+46</f>
        <v>313</v>
      </c>
      <c r="AP5">
        <f>190+18+31+19+54+34+47</f>
        <v>393</v>
      </c>
      <c r="AQ5">
        <f>26+129</f>
        <v>155</v>
      </c>
      <c r="AR5">
        <f>63+2+8</f>
        <v>73</v>
      </c>
      <c r="AS5">
        <f>59+12</f>
        <v>71</v>
      </c>
      <c r="AT5">
        <f>106+21+7+11+26+2</f>
        <v>173</v>
      </c>
      <c r="AU5">
        <v>30</v>
      </c>
      <c r="AV5">
        <v>5</v>
      </c>
      <c r="AW5">
        <v>15</v>
      </c>
      <c r="AX5">
        <f>22+2</f>
        <v>24</v>
      </c>
      <c r="AY5">
        <f>179+17+1+1</f>
        <v>198</v>
      </c>
      <c r="AZ5">
        <v>21</v>
      </c>
      <c r="BA5">
        <f>43+1</f>
        <v>44</v>
      </c>
      <c r="BB5">
        <f>3+69+52+20+3</f>
        <v>147</v>
      </c>
      <c r="BC5">
        <f>49+2+2</f>
        <v>53</v>
      </c>
      <c r="BD5">
        <f>166+15+6+4</f>
        <v>191</v>
      </c>
      <c r="BE5">
        <f>24+2</f>
        <v>26</v>
      </c>
      <c r="BF5">
        <v>16</v>
      </c>
      <c r="BG5">
        <f>65+4</f>
        <v>69</v>
      </c>
      <c r="BH5">
        <v>116</v>
      </c>
      <c r="BI5">
        <f>74+11</f>
        <v>85</v>
      </c>
      <c r="BJ5">
        <f>24+11+10</f>
        <v>45</v>
      </c>
      <c r="BK5">
        <v>44</v>
      </c>
      <c r="BL5">
        <v>56</v>
      </c>
      <c r="BM5">
        <v>60</v>
      </c>
      <c r="BN5">
        <f t="shared" si="2"/>
        <v>5116</v>
      </c>
      <c r="BO5">
        <f t="shared" si="3"/>
        <v>302</v>
      </c>
      <c r="BP5">
        <f t="shared" si="7"/>
        <v>406</v>
      </c>
      <c r="BQ5">
        <f t="shared" si="4"/>
        <v>5824</v>
      </c>
      <c r="BU5" s="8"/>
      <c r="BZ5" s="8"/>
      <c r="CD5" s="8"/>
    </row>
    <row r="6" spans="1:82" ht="15.75">
      <c r="A6" s="15" t="s">
        <v>74</v>
      </c>
      <c r="B6" t="s">
        <v>75</v>
      </c>
      <c r="C6" t="s">
        <v>76</v>
      </c>
      <c r="D6" t="s">
        <v>68</v>
      </c>
      <c r="E6">
        <v>14921</v>
      </c>
      <c r="G6">
        <v>1203</v>
      </c>
      <c r="H6">
        <v>825</v>
      </c>
      <c r="I6">
        <v>146</v>
      </c>
      <c r="J6">
        <v>676</v>
      </c>
      <c r="K6">
        <v>324</v>
      </c>
      <c r="L6">
        <v>102</v>
      </c>
      <c r="M6">
        <v>72</v>
      </c>
      <c r="N6">
        <v>303</v>
      </c>
      <c r="O6">
        <v>3684</v>
      </c>
      <c r="P6">
        <v>1424</v>
      </c>
      <c r="Q6">
        <v>355</v>
      </c>
      <c r="R6">
        <v>449</v>
      </c>
      <c r="S6">
        <v>143</v>
      </c>
      <c r="T6">
        <v>20</v>
      </c>
      <c r="U6">
        <v>4394</v>
      </c>
      <c r="V6">
        <v>374</v>
      </c>
      <c r="W6">
        <v>160</v>
      </c>
      <c r="X6">
        <v>267</v>
      </c>
      <c r="Y6">
        <f t="shared" si="0"/>
        <v>14921</v>
      </c>
      <c r="Z6">
        <f t="shared" si="1"/>
        <v>9726</v>
      </c>
      <c r="AB6">
        <f>1+4</f>
        <v>5</v>
      </c>
      <c r="AL6">
        <v>1</v>
      </c>
      <c r="AP6">
        <v>5</v>
      </c>
      <c r="BB6">
        <v>4</v>
      </c>
      <c r="BC6">
        <v>1</v>
      </c>
      <c r="BF6">
        <f>4+3</f>
        <v>7</v>
      </c>
      <c r="BN6">
        <f t="shared" si="2"/>
        <v>16</v>
      </c>
      <c r="BO6">
        <f t="shared" si="3"/>
        <v>7</v>
      </c>
      <c r="BP6">
        <f t="shared" si="7"/>
        <v>0</v>
      </c>
      <c r="BQ6">
        <f t="shared" si="4"/>
        <v>23</v>
      </c>
      <c r="BR6">
        <f aca="true" t="shared" si="8" ref="BR6:BT7">BN6+BN8</f>
        <v>4394</v>
      </c>
      <c r="BS6">
        <f t="shared" si="8"/>
        <v>374</v>
      </c>
      <c r="BT6">
        <f t="shared" si="8"/>
        <v>160</v>
      </c>
      <c r="BU6" s="8">
        <f>SUM(BR6:BT6)</f>
        <v>4928</v>
      </c>
      <c r="BW6" s="2">
        <f>BN7/BN6</f>
        <v>24.0625</v>
      </c>
      <c r="BX6" s="2">
        <f>BO7/BO6</f>
        <v>17.285714285714285</v>
      </c>
      <c r="BY6" s="2">
        <v>0</v>
      </c>
      <c r="BZ6" s="5">
        <v>0</v>
      </c>
      <c r="CA6" s="2">
        <f>BR7/BR6</f>
        <v>3.6948111060537094</v>
      </c>
      <c r="CB6" s="2">
        <f>BS7/BS6</f>
        <v>2.735294117647059</v>
      </c>
      <c r="CC6" s="2">
        <f>BT7/BT6</f>
        <v>7.86875</v>
      </c>
      <c r="CD6" s="5">
        <f>BU7/BU6</f>
        <v>3.757508116883117</v>
      </c>
    </row>
    <row r="7" spans="4:82" ht="15.75">
      <c r="D7" t="s">
        <v>70</v>
      </c>
      <c r="E7">
        <v>78245</v>
      </c>
      <c r="G7">
        <v>13064</v>
      </c>
      <c r="H7">
        <v>4845</v>
      </c>
      <c r="I7">
        <v>756</v>
      </c>
      <c r="J7">
        <v>3333</v>
      </c>
      <c r="K7">
        <v>1130</v>
      </c>
      <c r="L7">
        <v>438</v>
      </c>
      <c r="M7">
        <v>7831</v>
      </c>
      <c r="N7">
        <v>855</v>
      </c>
      <c r="O7">
        <v>14682</v>
      </c>
      <c r="P7">
        <v>6549</v>
      </c>
      <c r="Q7">
        <v>1250</v>
      </c>
      <c r="R7">
        <v>2230</v>
      </c>
      <c r="S7">
        <v>645</v>
      </c>
      <c r="T7">
        <v>86</v>
      </c>
      <c r="U7">
        <v>16235</v>
      </c>
      <c r="V7">
        <v>1023</v>
      </c>
      <c r="W7">
        <v>1259</v>
      </c>
      <c r="X7">
        <v>2034</v>
      </c>
      <c r="Y7">
        <f t="shared" si="0"/>
        <v>78245</v>
      </c>
      <c r="Z7">
        <f t="shared" si="1"/>
        <v>57694</v>
      </c>
      <c r="AB7">
        <f>9+283</f>
        <v>292</v>
      </c>
      <c r="AL7">
        <v>55</v>
      </c>
      <c r="AP7">
        <v>28</v>
      </c>
      <c r="BB7">
        <v>9</v>
      </c>
      <c r="BC7">
        <v>1</v>
      </c>
      <c r="BF7">
        <f>68+53</f>
        <v>121</v>
      </c>
      <c r="BN7">
        <f t="shared" si="2"/>
        <v>385</v>
      </c>
      <c r="BO7">
        <f t="shared" si="3"/>
        <v>121</v>
      </c>
      <c r="BP7">
        <f t="shared" si="7"/>
        <v>0</v>
      </c>
      <c r="BQ7">
        <f t="shared" si="4"/>
        <v>506</v>
      </c>
      <c r="BR7">
        <f t="shared" si="8"/>
        <v>16235</v>
      </c>
      <c r="BS7">
        <f t="shared" si="8"/>
        <v>1023</v>
      </c>
      <c r="BT7">
        <f t="shared" si="8"/>
        <v>1259</v>
      </c>
      <c r="BU7" s="8">
        <f>SUM(BR7:BT7)</f>
        <v>18517</v>
      </c>
      <c r="BZ7" s="8"/>
      <c r="CD7" s="8"/>
    </row>
    <row r="8" spans="2:82" ht="15.75">
      <c r="B8" t="s">
        <v>77</v>
      </c>
      <c r="C8" t="s">
        <v>78</v>
      </c>
      <c r="D8" t="s">
        <v>68</v>
      </c>
      <c r="AB8">
        <v>40</v>
      </c>
      <c r="AD8">
        <v>283</v>
      </c>
      <c r="AE8">
        <v>193</v>
      </c>
      <c r="AF8">
        <v>159</v>
      </c>
      <c r="AG8">
        <v>138</v>
      </c>
      <c r="AH8">
        <v>33</v>
      </c>
      <c r="AI8">
        <v>85</v>
      </c>
      <c r="AJ8">
        <v>170</v>
      </c>
      <c r="AK8">
        <v>301</v>
      </c>
      <c r="AL8">
        <v>278</v>
      </c>
      <c r="AM8">
        <v>213</v>
      </c>
      <c r="AN8">
        <v>205</v>
      </c>
      <c r="AO8">
        <v>284</v>
      </c>
      <c r="AP8">
        <v>199</v>
      </c>
      <c r="AQ8">
        <v>131</v>
      </c>
      <c r="AR8">
        <v>112</v>
      </c>
      <c r="AS8">
        <v>183</v>
      </c>
      <c r="AT8">
        <v>70</v>
      </c>
      <c r="AU8">
        <v>42</v>
      </c>
      <c r="AV8">
        <v>79</v>
      </c>
      <c r="AW8">
        <v>31</v>
      </c>
      <c r="AX8">
        <v>13</v>
      </c>
      <c r="AY8">
        <v>320</v>
      </c>
      <c r="AZ8">
        <v>44</v>
      </c>
      <c r="BA8">
        <v>323</v>
      </c>
      <c r="BB8">
        <v>310</v>
      </c>
      <c r="BC8">
        <v>139</v>
      </c>
      <c r="BD8">
        <v>42</v>
      </c>
      <c r="BE8">
        <v>51</v>
      </c>
      <c r="BF8">
        <v>8</v>
      </c>
      <c r="BG8">
        <v>266</v>
      </c>
      <c r="BH8">
        <v>48</v>
      </c>
      <c r="BI8">
        <v>22</v>
      </c>
      <c r="BJ8">
        <v>10</v>
      </c>
      <c r="BK8">
        <v>31</v>
      </c>
      <c r="BL8">
        <v>24</v>
      </c>
      <c r="BM8">
        <v>25</v>
      </c>
      <c r="BN8">
        <f t="shared" si="2"/>
        <v>4378</v>
      </c>
      <c r="BO8">
        <f t="shared" si="3"/>
        <v>367</v>
      </c>
      <c r="BP8">
        <f t="shared" si="7"/>
        <v>160</v>
      </c>
      <c r="BQ8">
        <f t="shared" si="4"/>
        <v>4905</v>
      </c>
      <c r="BU8" s="8"/>
      <c r="BW8" s="2">
        <f>BN9/BN8</f>
        <v>3.620374600274098</v>
      </c>
      <c r="BX8" s="2">
        <f>BO9/BO8</f>
        <v>2.457765667574932</v>
      </c>
      <c r="BY8" s="2">
        <f>BP9/BP8</f>
        <v>7.86875</v>
      </c>
      <c r="BZ8" s="5">
        <f>BQ9/BQ8</f>
        <v>3.671967380224261</v>
      </c>
      <c r="CA8" s="2"/>
      <c r="CB8" s="2"/>
      <c r="CC8" s="2"/>
      <c r="CD8" s="5"/>
    </row>
    <row r="9" spans="4:82" ht="15.75">
      <c r="D9" t="s">
        <v>70</v>
      </c>
      <c r="AB9">
        <v>588</v>
      </c>
      <c r="AD9">
        <v>893</v>
      </c>
      <c r="AE9">
        <v>441</v>
      </c>
      <c r="AF9">
        <v>731</v>
      </c>
      <c r="AG9">
        <v>1012</v>
      </c>
      <c r="AH9">
        <v>149</v>
      </c>
      <c r="AI9">
        <v>1028</v>
      </c>
      <c r="AJ9">
        <v>558</v>
      </c>
      <c r="AK9">
        <v>811</v>
      </c>
      <c r="AL9">
        <v>1105</v>
      </c>
      <c r="AM9">
        <v>1008</v>
      </c>
      <c r="AN9">
        <v>585</v>
      </c>
      <c r="AO9">
        <v>1172</v>
      </c>
      <c r="AP9">
        <v>513</v>
      </c>
      <c r="AQ9">
        <v>387</v>
      </c>
      <c r="AR9">
        <v>255</v>
      </c>
      <c r="AS9">
        <v>312</v>
      </c>
      <c r="AT9">
        <v>192</v>
      </c>
      <c r="AU9">
        <v>93</v>
      </c>
      <c r="AV9">
        <v>171</v>
      </c>
      <c r="AW9">
        <v>125</v>
      </c>
      <c r="AX9">
        <v>77</v>
      </c>
      <c r="AY9">
        <v>1908</v>
      </c>
      <c r="AZ9">
        <v>115</v>
      </c>
      <c r="BA9">
        <v>783</v>
      </c>
      <c r="BB9">
        <v>475</v>
      </c>
      <c r="BC9">
        <v>363</v>
      </c>
      <c r="BD9">
        <v>103</v>
      </c>
      <c r="BE9">
        <v>78</v>
      </c>
      <c r="BF9">
        <v>22</v>
      </c>
      <c r="BG9">
        <v>699</v>
      </c>
      <c r="BH9">
        <v>393</v>
      </c>
      <c r="BI9">
        <v>170</v>
      </c>
      <c r="BJ9">
        <v>89</v>
      </c>
      <c r="BK9">
        <v>237</v>
      </c>
      <c r="BL9">
        <v>145</v>
      </c>
      <c r="BM9">
        <v>225</v>
      </c>
      <c r="BN9">
        <f t="shared" si="2"/>
        <v>15850</v>
      </c>
      <c r="BO9">
        <f t="shared" si="3"/>
        <v>902</v>
      </c>
      <c r="BP9">
        <f t="shared" si="7"/>
        <v>1259</v>
      </c>
      <c r="BQ9">
        <f t="shared" si="4"/>
        <v>18011</v>
      </c>
      <c r="BU9" s="8"/>
      <c r="BZ9" s="8"/>
      <c r="CD9" s="8"/>
    </row>
    <row r="10" spans="2:82" ht="15.75">
      <c r="B10" s="3" t="s">
        <v>69</v>
      </c>
      <c r="C10" s="3"/>
      <c r="D10" s="3" t="s">
        <v>68</v>
      </c>
      <c r="E10" s="3">
        <f>E2+E4+E6</f>
        <v>20852</v>
      </c>
      <c r="F10" s="3"/>
      <c r="G10" s="3">
        <f aca="true" t="shared" si="9" ref="G10:Y10">G2+G4+G6</f>
        <v>2730</v>
      </c>
      <c r="H10" s="3">
        <f t="shared" si="9"/>
        <v>1177</v>
      </c>
      <c r="I10" s="3">
        <f t="shared" si="9"/>
        <v>250</v>
      </c>
      <c r="J10" s="3">
        <f t="shared" si="9"/>
        <v>1017</v>
      </c>
      <c r="K10" s="3">
        <f t="shared" si="9"/>
        <v>410</v>
      </c>
      <c r="L10" s="3">
        <f t="shared" si="9"/>
        <v>133</v>
      </c>
      <c r="M10" s="3">
        <f t="shared" si="9"/>
        <v>115</v>
      </c>
      <c r="N10" s="3">
        <f t="shared" si="9"/>
        <v>515</v>
      </c>
      <c r="O10" s="3">
        <f t="shared" si="9"/>
        <v>5010</v>
      </c>
      <c r="P10" s="3">
        <f t="shared" si="9"/>
        <v>1847</v>
      </c>
      <c r="Q10" s="3">
        <f t="shared" si="9"/>
        <v>458</v>
      </c>
      <c r="R10" s="3">
        <f t="shared" si="9"/>
        <v>661</v>
      </c>
      <c r="S10" s="3">
        <f t="shared" si="9"/>
        <v>165</v>
      </c>
      <c r="T10" s="3">
        <f t="shared" si="9"/>
        <v>27</v>
      </c>
      <c r="U10" s="3">
        <f t="shared" si="9"/>
        <v>5142</v>
      </c>
      <c r="V10" s="3">
        <f t="shared" si="9"/>
        <v>435</v>
      </c>
      <c r="W10" s="3">
        <f t="shared" si="9"/>
        <v>207</v>
      </c>
      <c r="X10" s="3">
        <f t="shared" si="9"/>
        <v>553</v>
      </c>
      <c r="Y10" s="3">
        <f t="shared" si="9"/>
        <v>20852</v>
      </c>
      <c r="Z10" s="3">
        <f>SUM(G10:T10)</f>
        <v>14515</v>
      </c>
      <c r="AA10" s="3">
        <f>AA2+AA4+AA6+AA8</f>
        <v>26</v>
      </c>
      <c r="AB10" s="3">
        <f>AB2+AB4+AB6+AB8</f>
        <v>202</v>
      </c>
      <c r="AC10" s="3"/>
      <c r="AD10" s="3">
        <f aca="true" t="shared" si="10" ref="AD10:BQ10">AD2+AD4+AD6+AD8</f>
        <v>305</v>
      </c>
      <c r="AE10" s="3">
        <f t="shared" si="10"/>
        <v>211</v>
      </c>
      <c r="AF10" s="3">
        <f t="shared" si="10"/>
        <v>176</v>
      </c>
      <c r="AG10" s="3">
        <f t="shared" si="10"/>
        <v>155</v>
      </c>
      <c r="AH10" s="3">
        <f t="shared" si="10"/>
        <v>49</v>
      </c>
      <c r="AI10" s="3">
        <f t="shared" si="10"/>
        <v>94</v>
      </c>
      <c r="AJ10" s="3">
        <f t="shared" si="10"/>
        <v>182</v>
      </c>
      <c r="AK10" s="3">
        <f t="shared" si="10"/>
        <v>362</v>
      </c>
      <c r="AL10" s="3">
        <f t="shared" si="10"/>
        <v>325</v>
      </c>
      <c r="AM10" s="3">
        <f t="shared" si="10"/>
        <v>239</v>
      </c>
      <c r="AN10" s="3">
        <f t="shared" si="10"/>
        <v>227</v>
      </c>
      <c r="AO10" s="3">
        <f t="shared" si="10"/>
        <v>312</v>
      </c>
      <c r="AP10" s="3">
        <f t="shared" si="10"/>
        <v>272</v>
      </c>
      <c r="AQ10" s="3">
        <f t="shared" si="10"/>
        <v>164</v>
      </c>
      <c r="AR10" s="3">
        <f t="shared" si="10"/>
        <v>131</v>
      </c>
      <c r="AS10" s="3">
        <f t="shared" si="10"/>
        <v>203</v>
      </c>
      <c r="AT10" s="3">
        <f t="shared" si="10"/>
        <v>97</v>
      </c>
      <c r="AU10" s="3">
        <f t="shared" si="10"/>
        <v>51</v>
      </c>
      <c r="AV10" s="3">
        <f t="shared" si="10"/>
        <v>82</v>
      </c>
      <c r="AW10" s="3">
        <f t="shared" si="10"/>
        <v>34</v>
      </c>
      <c r="AX10" s="3">
        <f t="shared" si="10"/>
        <v>17</v>
      </c>
      <c r="AY10" s="3">
        <f t="shared" si="10"/>
        <v>349</v>
      </c>
      <c r="AZ10" s="3">
        <f t="shared" si="10"/>
        <v>50</v>
      </c>
      <c r="BA10" s="3">
        <f t="shared" si="10"/>
        <v>337</v>
      </c>
      <c r="BB10" s="3">
        <f t="shared" si="10"/>
        <v>333</v>
      </c>
      <c r="BC10" s="3">
        <f t="shared" si="10"/>
        <v>157</v>
      </c>
      <c r="BD10" s="3">
        <f t="shared" si="10"/>
        <v>65</v>
      </c>
      <c r="BE10" s="3">
        <f t="shared" si="10"/>
        <v>59</v>
      </c>
      <c r="BF10" s="3">
        <f t="shared" si="10"/>
        <v>17</v>
      </c>
      <c r="BG10" s="3">
        <f t="shared" si="10"/>
        <v>294</v>
      </c>
      <c r="BH10" s="3">
        <f t="shared" si="10"/>
        <v>65</v>
      </c>
      <c r="BI10" s="3">
        <f t="shared" si="10"/>
        <v>31</v>
      </c>
      <c r="BJ10" s="3">
        <f t="shared" si="10"/>
        <v>14</v>
      </c>
      <c r="BK10" s="3">
        <f t="shared" si="10"/>
        <v>36</v>
      </c>
      <c r="BL10" s="3">
        <f t="shared" si="10"/>
        <v>31</v>
      </c>
      <c r="BM10" s="3">
        <f t="shared" si="10"/>
        <v>30</v>
      </c>
      <c r="BN10" s="3">
        <f t="shared" si="10"/>
        <v>5142</v>
      </c>
      <c r="BO10" s="3">
        <f t="shared" si="10"/>
        <v>435</v>
      </c>
      <c r="BP10" s="3">
        <f t="shared" si="10"/>
        <v>207</v>
      </c>
      <c r="BQ10" s="3">
        <f t="shared" si="10"/>
        <v>5784</v>
      </c>
      <c r="BU10" s="8"/>
      <c r="BZ10" s="8"/>
      <c r="CD10" s="8"/>
    </row>
    <row r="11" spans="2:82" ht="15.75">
      <c r="B11" s="3"/>
      <c r="C11" s="3"/>
      <c r="D11" s="3" t="s">
        <v>70</v>
      </c>
      <c r="E11" s="3">
        <f>E3+E5+E7</f>
        <v>181138</v>
      </c>
      <c r="F11" s="3"/>
      <c r="G11" s="3">
        <f aca="true" t="shared" si="11" ref="G11:Y11">G3+G5+G7</f>
        <v>62925</v>
      </c>
      <c r="H11" s="3">
        <f t="shared" si="11"/>
        <v>7162</v>
      </c>
      <c r="I11" s="3">
        <f t="shared" si="11"/>
        <v>1482</v>
      </c>
      <c r="J11" s="3">
        <f t="shared" si="11"/>
        <v>6049</v>
      </c>
      <c r="K11" s="3">
        <f t="shared" si="11"/>
        <v>1601</v>
      </c>
      <c r="L11" s="3">
        <f t="shared" si="11"/>
        <v>795</v>
      </c>
      <c r="M11" s="3">
        <f t="shared" si="11"/>
        <v>12822</v>
      </c>
      <c r="N11" s="3">
        <f t="shared" si="11"/>
        <v>1961</v>
      </c>
      <c r="O11" s="3">
        <f t="shared" si="11"/>
        <v>32382</v>
      </c>
      <c r="P11" s="3">
        <f t="shared" si="11"/>
        <v>12227</v>
      </c>
      <c r="Q11" s="3">
        <f t="shared" si="11"/>
        <v>3250</v>
      </c>
      <c r="R11" s="3">
        <f t="shared" si="11"/>
        <v>4792</v>
      </c>
      <c r="S11" s="3">
        <f t="shared" si="11"/>
        <v>840</v>
      </c>
      <c r="T11" s="3">
        <f t="shared" si="11"/>
        <v>152</v>
      </c>
      <c r="U11" s="3">
        <f t="shared" si="11"/>
        <v>24103</v>
      </c>
      <c r="V11" s="3">
        <f t="shared" si="11"/>
        <v>1391</v>
      </c>
      <c r="W11" s="3">
        <f t="shared" si="11"/>
        <v>1707</v>
      </c>
      <c r="X11" s="3">
        <f t="shared" si="11"/>
        <v>5497</v>
      </c>
      <c r="Y11" s="3">
        <f t="shared" si="11"/>
        <v>181138</v>
      </c>
      <c r="Z11" s="3">
        <f>SUM(G11:T11)</f>
        <v>148440</v>
      </c>
      <c r="AA11" s="3">
        <f>AA3+AA5+AA7+AA9</f>
        <v>1660</v>
      </c>
      <c r="AB11" s="3">
        <f>AB3+AB5+AB7+AB9</f>
        <v>2637</v>
      </c>
      <c r="AC11" s="3"/>
      <c r="AD11" s="3">
        <f aca="true" t="shared" si="12" ref="AD11:BQ11">AD3+AD5+AD7+AD9</f>
        <v>1061</v>
      </c>
      <c r="AE11" s="3">
        <f t="shared" si="12"/>
        <v>644</v>
      </c>
      <c r="AF11" s="3">
        <f t="shared" si="12"/>
        <v>856</v>
      </c>
      <c r="AG11" s="3">
        <f t="shared" si="12"/>
        <v>1291</v>
      </c>
      <c r="AH11" s="3">
        <f t="shared" si="12"/>
        <v>238</v>
      </c>
      <c r="AI11" s="3">
        <f t="shared" si="12"/>
        <v>1308</v>
      </c>
      <c r="AJ11" s="3">
        <f t="shared" si="12"/>
        <v>689</v>
      </c>
      <c r="AK11" s="3">
        <f t="shared" si="12"/>
        <v>1159</v>
      </c>
      <c r="AL11" s="3">
        <f t="shared" si="12"/>
        <v>1487</v>
      </c>
      <c r="AM11" s="3">
        <f t="shared" si="12"/>
        <v>1364</v>
      </c>
      <c r="AN11" s="3">
        <f t="shared" si="12"/>
        <v>708</v>
      </c>
      <c r="AO11" s="3">
        <f t="shared" si="12"/>
        <v>1625</v>
      </c>
      <c r="AP11" s="3">
        <f t="shared" si="12"/>
        <v>990</v>
      </c>
      <c r="AQ11" s="3">
        <f t="shared" si="12"/>
        <v>612</v>
      </c>
      <c r="AR11" s="3">
        <f t="shared" si="12"/>
        <v>328</v>
      </c>
      <c r="AS11" s="3">
        <f t="shared" si="12"/>
        <v>383</v>
      </c>
      <c r="AT11" s="3">
        <f t="shared" si="12"/>
        <v>372</v>
      </c>
      <c r="AU11" s="3">
        <f t="shared" si="12"/>
        <v>135</v>
      </c>
      <c r="AV11" s="3">
        <f t="shared" si="12"/>
        <v>179</v>
      </c>
      <c r="AW11" s="3">
        <f t="shared" si="12"/>
        <v>140</v>
      </c>
      <c r="AX11" s="3">
        <f t="shared" si="12"/>
        <v>101</v>
      </c>
      <c r="AY11" s="3">
        <f t="shared" si="12"/>
        <v>2118</v>
      </c>
      <c r="AZ11" s="3">
        <f t="shared" si="12"/>
        <v>136</v>
      </c>
      <c r="BA11" s="3">
        <f t="shared" si="12"/>
        <v>829</v>
      </c>
      <c r="BB11" s="3">
        <f t="shared" si="12"/>
        <v>632</v>
      </c>
      <c r="BC11" s="3">
        <f t="shared" si="12"/>
        <v>421</v>
      </c>
      <c r="BD11" s="3">
        <f t="shared" si="12"/>
        <v>296</v>
      </c>
      <c r="BE11" s="3">
        <f t="shared" si="12"/>
        <v>106</v>
      </c>
      <c r="BF11" s="3">
        <f t="shared" si="12"/>
        <v>159</v>
      </c>
      <c r="BG11" s="3">
        <f t="shared" si="12"/>
        <v>830</v>
      </c>
      <c r="BH11" s="3">
        <f t="shared" si="12"/>
        <v>509</v>
      </c>
      <c r="BI11" s="3">
        <f t="shared" si="12"/>
        <v>281</v>
      </c>
      <c r="BJ11" s="3">
        <f t="shared" si="12"/>
        <v>134</v>
      </c>
      <c r="BK11" s="3">
        <f t="shared" si="12"/>
        <v>281</v>
      </c>
      <c r="BL11" s="3">
        <f t="shared" si="12"/>
        <v>217</v>
      </c>
      <c r="BM11" s="3">
        <f t="shared" si="12"/>
        <v>285</v>
      </c>
      <c r="BN11" s="3">
        <f t="shared" si="12"/>
        <v>24103</v>
      </c>
      <c r="BO11" s="3">
        <f t="shared" si="12"/>
        <v>1391</v>
      </c>
      <c r="BP11" s="3">
        <f t="shared" si="12"/>
        <v>1950</v>
      </c>
      <c r="BQ11" s="3">
        <f t="shared" si="12"/>
        <v>27444</v>
      </c>
      <c r="BU11" s="8"/>
      <c r="BZ11" s="8"/>
      <c r="CD11" s="8"/>
    </row>
    <row r="12" spans="2:82" ht="15.75">
      <c r="B12" s="3"/>
      <c r="C12" s="3"/>
      <c r="D12" s="3"/>
      <c r="E12" s="6">
        <f>E11/E10</f>
        <v>8.686840590830617</v>
      </c>
      <c r="F12" s="3"/>
      <c r="G12" s="6">
        <f aca="true" t="shared" si="13" ref="G12:AB12">G11/G10</f>
        <v>23.04945054945055</v>
      </c>
      <c r="H12" s="6">
        <f t="shared" si="13"/>
        <v>6.084961767204758</v>
      </c>
      <c r="I12" s="6">
        <f t="shared" si="13"/>
        <v>5.928</v>
      </c>
      <c r="J12" s="6">
        <f t="shared" si="13"/>
        <v>5.947885939036381</v>
      </c>
      <c r="K12" s="6">
        <f t="shared" si="13"/>
        <v>3.9048780487804877</v>
      </c>
      <c r="L12" s="6">
        <f t="shared" si="13"/>
        <v>5.977443609022556</v>
      </c>
      <c r="M12" s="6">
        <f t="shared" si="13"/>
        <v>111.49565217391304</v>
      </c>
      <c r="N12" s="6">
        <f t="shared" si="13"/>
        <v>3.8077669902912623</v>
      </c>
      <c r="O12" s="6">
        <f t="shared" si="13"/>
        <v>6.463473053892216</v>
      </c>
      <c r="P12" s="6">
        <f t="shared" si="13"/>
        <v>6.619924201407688</v>
      </c>
      <c r="Q12" s="6">
        <f t="shared" si="13"/>
        <v>7.096069868995633</v>
      </c>
      <c r="R12" s="6">
        <f t="shared" si="13"/>
        <v>7.249621785173979</v>
      </c>
      <c r="S12" s="6">
        <f t="shared" si="13"/>
        <v>5.090909090909091</v>
      </c>
      <c r="T12" s="6">
        <f t="shared" si="13"/>
        <v>5.62962962962963</v>
      </c>
      <c r="U12" s="6">
        <f t="shared" si="13"/>
        <v>4.687475690392843</v>
      </c>
      <c r="V12" s="6">
        <f t="shared" si="13"/>
        <v>3.197701149425287</v>
      </c>
      <c r="W12" s="6">
        <f t="shared" si="13"/>
        <v>8.246376811594203</v>
      </c>
      <c r="X12" s="6">
        <f t="shared" si="13"/>
        <v>9.940325497287523</v>
      </c>
      <c r="Y12" s="6">
        <f t="shared" si="13"/>
        <v>8.686840590830617</v>
      </c>
      <c r="Z12" s="6">
        <f t="shared" si="13"/>
        <v>10.226662073716845</v>
      </c>
      <c r="AA12" s="6">
        <f t="shared" si="13"/>
        <v>63.84615384615385</v>
      </c>
      <c r="AB12" s="6">
        <f t="shared" si="13"/>
        <v>13.054455445544555</v>
      </c>
      <c r="AC12" s="6"/>
      <c r="AD12" s="6">
        <f aca="true" t="shared" si="14" ref="AD12:BQ12">AD11/AD10</f>
        <v>3.4786885245901638</v>
      </c>
      <c r="AE12" s="6">
        <f t="shared" si="14"/>
        <v>3.052132701421801</v>
      </c>
      <c r="AF12" s="6">
        <f t="shared" si="14"/>
        <v>4.863636363636363</v>
      </c>
      <c r="AG12" s="6">
        <f t="shared" si="14"/>
        <v>8.329032258064515</v>
      </c>
      <c r="AH12" s="6">
        <f t="shared" si="14"/>
        <v>4.857142857142857</v>
      </c>
      <c r="AI12" s="6">
        <f t="shared" si="14"/>
        <v>13.914893617021276</v>
      </c>
      <c r="AJ12" s="6">
        <f t="shared" si="14"/>
        <v>3.7857142857142856</v>
      </c>
      <c r="AK12" s="6">
        <f t="shared" si="14"/>
        <v>3.201657458563536</v>
      </c>
      <c r="AL12" s="6">
        <f t="shared" si="14"/>
        <v>4.575384615384616</v>
      </c>
      <c r="AM12" s="6">
        <f t="shared" si="14"/>
        <v>5.707112970711297</v>
      </c>
      <c r="AN12" s="6">
        <f t="shared" si="14"/>
        <v>3.118942731277533</v>
      </c>
      <c r="AO12" s="6">
        <f t="shared" si="14"/>
        <v>5.208333333333333</v>
      </c>
      <c r="AP12" s="6">
        <f t="shared" si="14"/>
        <v>3.639705882352941</v>
      </c>
      <c r="AQ12" s="6">
        <f t="shared" si="14"/>
        <v>3.731707317073171</v>
      </c>
      <c r="AR12" s="6">
        <f t="shared" si="14"/>
        <v>2.50381679389313</v>
      </c>
      <c r="AS12" s="6">
        <f t="shared" si="14"/>
        <v>1.8866995073891626</v>
      </c>
      <c r="AT12" s="6">
        <f t="shared" si="14"/>
        <v>3.8350515463917527</v>
      </c>
      <c r="AU12" s="6">
        <f t="shared" si="14"/>
        <v>2.6470588235294117</v>
      </c>
      <c r="AV12" s="6">
        <f t="shared" si="14"/>
        <v>2.182926829268293</v>
      </c>
      <c r="AW12" s="6">
        <f t="shared" si="14"/>
        <v>4.117647058823529</v>
      </c>
      <c r="AX12" s="6">
        <f t="shared" si="14"/>
        <v>5.9411764705882355</v>
      </c>
      <c r="AY12" s="6">
        <f t="shared" si="14"/>
        <v>6.0687679083094554</v>
      </c>
      <c r="AZ12" s="6">
        <f t="shared" si="14"/>
        <v>2.72</v>
      </c>
      <c r="BA12" s="6">
        <f t="shared" si="14"/>
        <v>2.459940652818991</v>
      </c>
      <c r="BB12" s="6">
        <f t="shared" si="14"/>
        <v>1.897897897897898</v>
      </c>
      <c r="BC12" s="6">
        <f t="shared" si="14"/>
        <v>2.6815286624203822</v>
      </c>
      <c r="BD12" s="6">
        <f t="shared" si="14"/>
        <v>4.553846153846154</v>
      </c>
      <c r="BE12" s="6">
        <f t="shared" si="14"/>
        <v>1.7966101694915255</v>
      </c>
      <c r="BF12" s="6">
        <f t="shared" si="14"/>
        <v>9.352941176470589</v>
      </c>
      <c r="BG12" s="6">
        <f t="shared" si="14"/>
        <v>2.82312925170068</v>
      </c>
      <c r="BH12" s="6">
        <f t="shared" si="14"/>
        <v>7.8307692307692305</v>
      </c>
      <c r="BI12" s="6">
        <f t="shared" si="14"/>
        <v>9.064516129032258</v>
      </c>
      <c r="BJ12" s="6">
        <f t="shared" si="14"/>
        <v>9.571428571428571</v>
      </c>
      <c r="BK12" s="6">
        <f t="shared" si="14"/>
        <v>7.805555555555555</v>
      </c>
      <c r="BL12" s="6">
        <f t="shared" si="14"/>
        <v>7</v>
      </c>
      <c r="BM12" s="6">
        <f t="shared" si="14"/>
        <v>9.5</v>
      </c>
      <c r="BN12" s="6">
        <f t="shared" si="14"/>
        <v>4.687475690392843</v>
      </c>
      <c r="BO12" s="6">
        <f t="shared" si="14"/>
        <v>3.197701149425287</v>
      </c>
      <c r="BP12" s="6">
        <f t="shared" si="14"/>
        <v>9.420289855072463</v>
      </c>
      <c r="BQ12" s="6">
        <f t="shared" si="14"/>
        <v>4.744813278008299</v>
      </c>
      <c r="BU12" s="8"/>
      <c r="BZ12" s="8"/>
      <c r="CD12" s="8"/>
    </row>
    <row r="13" spans="73:82" ht="15.75">
      <c r="BU13" s="8"/>
      <c r="BZ13" s="8"/>
      <c r="CD13" s="8"/>
    </row>
    <row r="14" spans="1:82" ht="15.75">
      <c r="A14" s="15" t="s">
        <v>79</v>
      </c>
      <c r="B14" t="s">
        <v>80</v>
      </c>
      <c r="C14" t="s">
        <v>81</v>
      </c>
      <c r="D14" t="s">
        <v>68</v>
      </c>
      <c r="E14">
        <v>54550</v>
      </c>
      <c r="G14">
        <v>5059</v>
      </c>
      <c r="H14">
        <v>2884</v>
      </c>
      <c r="I14">
        <v>465</v>
      </c>
      <c r="J14">
        <v>2711</v>
      </c>
      <c r="K14">
        <v>1338</v>
      </c>
      <c r="L14">
        <v>924</v>
      </c>
      <c r="M14">
        <v>388</v>
      </c>
      <c r="N14">
        <v>1993</v>
      </c>
      <c r="O14">
        <v>12805</v>
      </c>
      <c r="P14">
        <v>5053</v>
      </c>
      <c r="Q14">
        <v>1198</v>
      </c>
      <c r="R14">
        <v>2641</v>
      </c>
      <c r="S14">
        <v>389</v>
      </c>
      <c r="T14">
        <v>279</v>
      </c>
      <c r="U14">
        <v>12315</v>
      </c>
      <c r="V14">
        <v>1087</v>
      </c>
      <c r="W14">
        <v>421</v>
      </c>
      <c r="X14">
        <v>2600</v>
      </c>
      <c r="Y14">
        <f>SUM(G14:X14)</f>
        <v>54550</v>
      </c>
      <c r="Z14">
        <f>SUM(G14:T14)</f>
        <v>38127</v>
      </c>
      <c r="AB14">
        <f>4+3+9+4+3+8+7+18+6+2+11+1+1</f>
        <v>77</v>
      </c>
      <c r="AD14">
        <f>2+2+1+6+1</f>
        <v>12</v>
      </c>
      <c r="AE14">
        <f>5+6+21</f>
        <v>32</v>
      </c>
      <c r="AF14">
        <f>3+7+3</f>
        <v>13</v>
      </c>
      <c r="AG14">
        <f>24+7+18</f>
        <v>49</v>
      </c>
      <c r="AH14">
        <f>1+1+3+3</f>
        <v>8</v>
      </c>
      <c r="AI14">
        <f>5+7+1+1</f>
        <v>14</v>
      </c>
      <c r="AJ14">
        <f>1+6+18</f>
        <v>25</v>
      </c>
      <c r="AK14">
        <f>2+7+1+35</f>
        <v>45</v>
      </c>
      <c r="AL14">
        <f>6+2+1+1+36+2+5</f>
        <v>53</v>
      </c>
      <c r="AM14">
        <f>1+4+7+21+3</f>
        <v>36</v>
      </c>
      <c r="AN14">
        <f>1+5+18+1</f>
        <v>25</v>
      </c>
      <c r="AO14">
        <f>4+1+1+27+1</f>
        <v>34</v>
      </c>
      <c r="AP14">
        <f>9+1+10+1+1+12+5+3</f>
        <v>42</v>
      </c>
      <c r="AQ14">
        <f>2+8+8+2</f>
        <v>20</v>
      </c>
      <c r="AR14">
        <f>1+23+5+6+1+2</f>
        <v>38</v>
      </c>
      <c r="AS14">
        <f>1+2+2+6+1</f>
        <v>12</v>
      </c>
      <c r="AT14">
        <f>26+8+3+5+1+1+1</f>
        <v>45</v>
      </c>
      <c r="AU14">
        <f>8+9+5+3+5+1</f>
        <v>31</v>
      </c>
      <c r="AV14">
        <f>3+2+13+2+4+2+9</f>
        <v>35</v>
      </c>
      <c r="AW14">
        <f>1+1</f>
        <v>2</v>
      </c>
      <c r="AX14">
        <f>2+3+6+1+1</f>
        <v>13</v>
      </c>
      <c r="AY14">
        <f>1+1+7+10+1</f>
        <v>20</v>
      </c>
      <c r="AZ14">
        <f>1+4+3</f>
        <v>8</v>
      </c>
      <c r="BA14">
        <f>1+2+3+10</f>
        <v>16</v>
      </c>
      <c r="BB14">
        <f>17+6+24</f>
        <v>47</v>
      </c>
      <c r="BC14">
        <f>2+1+3+4+1</f>
        <v>11</v>
      </c>
      <c r="BD14">
        <f>3+2+7+5+2+3</f>
        <v>22</v>
      </c>
      <c r="BE14">
        <f>6+1</f>
        <v>7</v>
      </c>
      <c r="BG14">
        <f>6+2+13+1+8+1</f>
        <v>31</v>
      </c>
      <c r="BH14">
        <f>10+11+1</f>
        <v>22</v>
      </c>
      <c r="BI14">
        <f>1+1+1+1</f>
        <v>4</v>
      </c>
      <c r="BJ14">
        <f>1+2</f>
        <v>3</v>
      </c>
      <c r="BK14">
        <f>1+1+1+2</f>
        <v>5</v>
      </c>
      <c r="BL14">
        <f>8+3+1</f>
        <v>12</v>
      </c>
      <c r="BM14">
        <f>4+4</f>
        <v>8</v>
      </c>
      <c r="BN14">
        <f aca="true" t="shared" si="15" ref="BN14:BN27">SUM(AA14:BC14)</f>
        <v>763</v>
      </c>
      <c r="BO14">
        <f aca="true" t="shared" si="16" ref="BO14:BO27">SUM(BD14:BG14)</f>
        <v>60</v>
      </c>
      <c r="BP14">
        <f aca="true" t="shared" si="17" ref="BP14:BP27">SUM(BH14:BM14)</f>
        <v>54</v>
      </c>
      <c r="BQ14">
        <f aca="true" t="shared" si="18" ref="BQ14:BQ27">SUM(BN14:BP14)</f>
        <v>877</v>
      </c>
      <c r="BR14">
        <f aca="true" t="shared" si="19" ref="BR14:BT15">BN14+BN16+BN18</f>
        <v>12315</v>
      </c>
      <c r="BS14">
        <f t="shared" si="19"/>
        <v>1087</v>
      </c>
      <c r="BT14">
        <f t="shared" si="19"/>
        <v>421</v>
      </c>
      <c r="BU14" s="8">
        <f>SUM(BR14:BT14)</f>
        <v>13823</v>
      </c>
      <c r="BW14" s="2">
        <f aca="true" t="shared" si="20" ref="BW14:CD14">BN15/BN14</f>
        <v>22.428571428571427</v>
      </c>
      <c r="BX14" s="2">
        <f t="shared" si="20"/>
        <v>4.55</v>
      </c>
      <c r="BY14" s="2">
        <f t="shared" si="20"/>
        <v>7.703703703703703</v>
      </c>
      <c r="BZ14" s="5">
        <f t="shared" si="20"/>
        <v>20.298745724059295</v>
      </c>
      <c r="CA14" s="2">
        <f t="shared" si="20"/>
        <v>5.5101908241981326</v>
      </c>
      <c r="CB14" s="2">
        <f t="shared" si="20"/>
        <v>3.098436062557498</v>
      </c>
      <c r="CC14" s="2">
        <f t="shared" si="20"/>
        <v>8.187648456057007</v>
      </c>
      <c r="CD14" s="5">
        <f t="shared" si="20"/>
        <v>5.402083484048325</v>
      </c>
    </row>
    <row r="15" spans="4:82" ht="15.75">
      <c r="D15" t="s">
        <v>70</v>
      </c>
      <c r="E15">
        <v>504387</v>
      </c>
      <c r="G15">
        <v>92494</v>
      </c>
      <c r="H15">
        <v>36910</v>
      </c>
      <c r="I15">
        <v>5188</v>
      </c>
      <c r="J15">
        <v>51499</v>
      </c>
      <c r="K15">
        <v>29637</v>
      </c>
      <c r="L15">
        <v>10652</v>
      </c>
      <c r="M15">
        <v>2902</v>
      </c>
      <c r="N15">
        <v>7479</v>
      </c>
      <c r="O15">
        <v>87837</v>
      </c>
      <c r="P15">
        <v>66479</v>
      </c>
      <c r="Q15">
        <v>10299</v>
      </c>
      <c r="R15">
        <v>13634</v>
      </c>
      <c r="S15">
        <v>2448</v>
      </c>
      <c r="T15">
        <v>1035</v>
      </c>
      <c r="U15">
        <v>67858</v>
      </c>
      <c r="V15">
        <v>3368</v>
      </c>
      <c r="W15">
        <v>3447</v>
      </c>
      <c r="X15">
        <v>11221</v>
      </c>
      <c r="Y15">
        <f>SUM(G15:X15)</f>
        <v>504387</v>
      </c>
      <c r="Z15">
        <f>SUM(G15:T15)</f>
        <v>418493</v>
      </c>
      <c r="AB15">
        <f>732+18+196+66+54+84+69+212+86+10+63+14+15</f>
        <v>1619</v>
      </c>
      <c r="AD15">
        <f>16+4+12+46+8</f>
        <v>86</v>
      </c>
      <c r="AE15">
        <f>39+22+111</f>
        <v>172</v>
      </c>
      <c r="AF15">
        <f>15+27+16</f>
        <v>58</v>
      </c>
      <c r="AG15">
        <f>202+29+186</f>
        <v>417</v>
      </c>
      <c r="AH15">
        <f>21+3+23+22</f>
        <v>69</v>
      </c>
      <c r="AI15">
        <f>81+83+31+11</f>
        <v>206</v>
      </c>
      <c r="AJ15">
        <f>3+37+153</f>
        <v>193</v>
      </c>
      <c r="AK15">
        <f>29+42+2+143</f>
        <v>216</v>
      </c>
      <c r="AL15">
        <f>41+38+12+6+130+27+31</f>
        <v>285</v>
      </c>
      <c r="AM15">
        <f>13+27+54+151+12</f>
        <v>257</v>
      </c>
      <c r="AN15">
        <f>7+42+78+2</f>
        <v>129</v>
      </c>
      <c r="AO15">
        <f>50+84+17+137+21</f>
        <v>309</v>
      </c>
      <c r="AP15">
        <f>40+1+48+7+1+38+44+18</f>
        <v>197</v>
      </c>
      <c r="AQ15">
        <f>4+75+53+12</f>
        <v>144</v>
      </c>
      <c r="AR15">
        <f>413+30+13+8+4+3</f>
        <v>471</v>
      </c>
      <c r="AS15">
        <f>141+165+3+8+2</f>
        <v>319</v>
      </c>
      <c r="AT15">
        <f>7443+11+11+14+2+44+12</f>
        <v>7537</v>
      </c>
      <c r="AU15">
        <f>113+3055+25+6+10+2</f>
        <v>3211</v>
      </c>
      <c r="AV15">
        <f>190+299+19+4+11+6+257</f>
        <v>786</v>
      </c>
      <c r="AW15">
        <f>2+5</f>
        <v>7</v>
      </c>
      <c r="AX15">
        <f>13+3+24+1+9</f>
        <v>50</v>
      </c>
      <c r="AY15">
        <f>8+1+55+79+1</f>
        <v>144</v>
      </c>
      <c r="AZ15">
        <f>1+6+9</f>
        <v>16</v>
      </c>
      <c r="BA15">
        <f>3+8+8+34</f>
        <v>53</v>
      </c>
      <c r="BB15">
        <f>45+12+49</f>
        <v>106</v>
      </c>
      <c r="BC15">
        <f>15+4+10+21+6</f>
        <v>56</v>
      </c>
      <c r="BD15">
        <f>11+6+23+9+3+10</f>
        <v>62</v>
      </c>
      <c r="BE15">
        <f>10+9</f>
        <v>19</v>
      </c>
      <c r="BG15">
        <f>18+56+39+6+60+13</f>
        <v>192</v>
      </c>
      <c r="BH15">
        <f>70+92+13</f>
        <v>175</v>
      </c>
      <c r="BI15">
        <f>7+12+4+5</f>
        <v>28</v>
      </c>
      <c r="BJ15">
        <f>5+20</f>
        <v>25</v>
      </c>
      <c r="BK15">
        <f>8+16+8+13</f>
        <v>45</v>
      </c>
      <c r="BL15">
        <f>43+19+9</f>
        <v>71</v>
      </c>
      <c r="BM15">
        <f>40+32</f>
        <v>72</v>
      </c>
      <c r="BN15">
        <f t="shared" si="15"/>
        <v>17113</v>
      </c>
      <c r="BO15">
        <f t="shared" si="16"/>
        <v>273</v>
      </c>
      <c r="BP15">
        <f t="shared" si="17"/>
        <v>416</v>
      </c>
      <c r="BQ15">
        <f t="shared" si="18"/>
        <v>17802</v>
      </c>
      <c r="BR15">
        <f t="shared" si="19"/>
        <v>67858</v>
      </c>
      <c r="BS15">
        <f t="shared" si="19"/>
        <v>3368</v>
      </c>
      <c r="BT15">
        <f t="shared" si="19"/>
        <v>3447</v>
      </c>
      <c r="BU15" s="8">
        <f>SUM(BR15:BT15)</f>
        <v>74673</v>
      </c>
      <c r="BZ15" s="8"/>
      <c r="CD15" s="8"/>
    </row>
    <row r="16" spans="2:82" ht="15.75">
      <c r="B16" t="s">
        <v>82</v>
      </c>
      <c r="C16" t="s">
        <v>83</v>
      </c>
      <c r="D16" t="s">
        <v>68</v>
      </c>
      <c r="AB16">
        <f>55+5+9</f>
        <v>69</v>
      </c>
      <c r="AD16">
        <f>483+1</f>
        <v>484</v>
      </c>
      <c r="AE16">
        <v>320</v>
      </c>
      <c r="AF16">
        <v>297</v>
      </c>
      <c r="AG16">
        <f>408+6+1</f>
        <v>415</v>
      </c>
      <c r="AH16">
        <f>41+2+20</f>
        <v>63</v>
      </c>
      <c r="AI16">
        <v>115</v>
      </c>
      <c r="AJ16">
        <v>325</v>
      </c>
      <c r="AK16">
        <v>461</v>
      </c>
      <c r="AL16">
        <f>698+1+1+2</f>
        <v>702</v>
      </c>
      <c r="AM16">
        <f>135+4+8+278</f>
        <v>425</v>
      </c>
      <c r="AN16">
        <f>525+3</f>
        <v>528</v>
      </c>
      <c r="AO16">
        <f>637+8+4</f>
        <v>649</v>
      </c>
      <c r="AP16">
        <f>500+4+11+8</f>
        <v>523</v>
      </c>
      <c r="AQ16">
        <f>361+2+9</f>
        <v>372</v>
      </c>
      <c r="AR16">
        <f>494+3+2+76</f>
        <v>575</v>
      </c>
      <c r="AS16">
        <f>187+156</f>
        <v>343</v>
      </c>
      <c r="AT16">
        <f>474+5</f>
        <v>479</v>
      </c>
      <c r="AU16">
        <f>293+4</f>
        <v>297</v>
      </c>
      <c r="AV16">
        <v>277</v>
      </c>
      <c r="AW16">
        <v>71</v>
      </c>
      <c r="AX16">
        <f>12+1+2</f>
        <v>15</v>
      </c>
      <c r="AY16">
        <f>407+5+3</f>
        <v>415</v>
      </c>
      <c r="AZ16">
        <f>193+1</f>
        <v>194</v>
      </c>
      <c r="BA16">
        <f>444+1</f>
        <v>445</v>
      </c>
      <c r="BB16">
        <f>494+3+2</f>
        <v>499</v>
      </c>
      <c r="BC16">
        <f>129+1+1</f>
        <v>131</v>
      </c>
      <c r="BD16">
        <f>162+6+2</f>
        <v>170</v>
      </c>
      <c r="BE16">
        <f>129+5+2</f>
        <v>136</v>
      </c>
      <c r="BF16">
        <f>43+3</f>
        <v>46</v>
      </c>
      <c r="BG16">
        <f>518+2+3</f>
        <v>523</v>
      </c>
      <c r="BH16">
        <f>92+4</f>
        <v>96</v>
      </c>
      <c r="BI16">
        <f>13+2</f>
        <v>15</v>
      </c>
      <c r="BJ16">
        <v>16</v>
      </c>
      <c r="BK16">
        <v>37</v>
      </c>
      <c r="BL16">
        <v>44</v>
      </c>
      <c r="BM16">
        <v>40</v>
      </c>
      <c r="BN16">
        <f t="shared" si="15"/>
        <v>9489</v>
      </c>
      <c r="BO16">
        <f t="shared" si="16"/>
        <v>875</v>
      </c>
      <c r="BP16">
        <f t="shared" si="17"/>
        <v>248</v>
      </c>
      <c r="BQ16">
        <f t="shared" si="18"/>
        <v>10612</v>
      </c>
      <c r="BU16" s="8"/>
      <c r="BW16" s="2">
        <f>BN17/BN16</f>
        <v>3.93181578670039</v>
      </c>
      <c r="BX16" s="2">
        <f>BO17/BO16</f>
        <v>2.657142857142857</v>
      </c>
      <c r="BY16" s="2">
        <f>BP17/BP16</f>
        <v>7.69758064516129</v>
      </c>
      <c r="BZ16" s="5">
        <f>BQ17/BQ16</f>
        <v>3.9147191858273653</v>
      </c>
      <c r="CA16" s="2"/>
      <c r="CB16" s="2"/>
      <c r="CC16" s="2"/>
      <c r="CD16" s="5"/>
    </row>
    <row r="17" spans="4:82" ht="15.75">
      <c r="D17" t="s">
        <v>70</v>
      </c>
      <c r="AB17">
        <f>1054+73+125</f>
        <v>1252</v>
      </c>
      <c r="AD17">
        <f>2020+11</f>
        <v>2031</v>
      </c>
      <c r="AE17">
        <v>969</v>
      </c>
      <c r="AF17">
        <v>1390</v>
      </c>
      <c r="AG17">
        <f>2905+19+3</f>
        <v>2927</v>
      </c>
      <c r="AH17">
        <f>279+22+42</f>
        <v>343</v>
      </c>
      <c r="AI17">
        <v>2087</v>
      </c>
      <c r="AJ17">
        <v>1146</v>
      </c>
      <c r="AK17">
        <v>1502</v>
      </c>
      <c r="AL17">
        <f>3054+20+19+28</f>
        <v>3121</v>
      </c>
      <c r="AM17">
        <f>936+32+81+941</f>
        <v>1990</v>
      </c>
      <c r="AN17">
        <f>1476+14</f>
        <v>1490</v>
      </c>
      <c r="AO17">
        <f>2819+37+44</f>
        <v>2900</v>
      </c>
      <c r="AP17">
        <f>1495+12+64+141</f>
        <v>1712</v>
      </c>
      <c r="AQ17">
        <f>1022+22+95</f>
        <v>1139</v>
      </c>
      <c r="AR17">
        <f>1212+7+7+103</f>
        <v>1329</v>
      </c>
      <c r="AS17">
        <f>379+250</f>
        <v>629</v>
      </c>
      <c r="AT17">
        <f>1289+9</f>
        <v>1298</v>
      </c>
      <c r="AU17">
        <f>776+8</f>
        <v>784</v>
      </c>
      <c r="AV17">
        <v>606</v>
      </c>
      <c r="AW17">
        <v>451</v>
      </c>
      <c r="AX17">
        <f>126+7+8</f>
        <v>141</v>
      </c>
      <c r="AY17">
        <f>3255+33+26</f>
        <v>3314</v>
      </c>
      <c r="AZ17">
        <f>325+2</f>
        <v>327</v>
      </c>
      <c r="BA17">
        <f>1111+6</f>
        <v>1117</v>
      </c>
      <c r="BB17">
        <f>769+4+8</f>
        <v>781</v>
      </c>
      <c r="BC17">
        <f>517+4+12</f>
        <v>533</v>
      </c>
      <c r="BD17">
        <f>451+7+7</f>
        <v>465</v>
      </c>
      <c r="BE17">
        <f>186+8+30</f>
        <v>224</v>
      </c>
      <c r="BF17">
        <f>110+40</f>
        <v>150</v>
      </c>
      <c r="BG17">
        <f>1451+5+30</f>
        <v>1486</v>
      </c>
      <c r="BH17">
        <f>524+40</f>
        <v>564</v>
      </c>
      <c r="BI17">
        <f>128+18</f>
        <v>146</v>
      </c>
      <c r="BJ17">
        <v>114</v>
      </c>
      <c r="BK17">
        <v>357</v>
      </c>
      <c r="BL17">
        <v>248</v>
      </c>
      <c r="BM17">
        <v>480</v>
      </c>
      <c r="BN17">
        <f t="shared" si="15"/>
        <v>37309</v>
      </c>
      <c r="BO17">
        <f t="shared" si="16"/>
        <v>2325</v>
      </c>
      <c r="BP17">
        <f t="shared" si="17"/>
        <v>1909</v>
      </c>
      <c r="BQ17">
        <f t="shared" si="18"/>
        <v>41543</v>
      </c>
      <c r="BU17" s="8"/>
      <c r="BZ17" s="8"/>
      <c r="CD17" s="8"/>
    </row>
    <row r="18" spans="2:82" ht="15.75">
      <c r="B18" t="s">
        <v>84</v>
      </c>
      <c r="C18" t="s">
        <v>85</v>
      </c>
      <c r="D18" t="s">
        <v>68</v>
      </c>
      <c r="AB18">
        <v>140</v>
      </c>
      <c r="AD18">
        <v>98</v>
      </c>
      <c r="AE18">
        <v>74</v>
      </c>
      <c r="AF18">
        <v>66</v>
      </c>
      <c r="AG18">
        <v>111</v>
      </c>
      <c r="AH18">
        <v>37</v>
      </c>
      <c r="AI18">
        <v>80</v>
      </c>
      <c r="AJ18">
        <v>44</v>
      </c>
      <c r="AK18">
        <v>103</v>
      </c>
      <c r="AL18">
        <v>149</v>
      </c>
      <c r="AM18">
        <v>66</v>
      </c>
      <c r="AN18">
        <v>140</v>
      </c>
      <c r="AO18">
        <v>167</v>
      </c>
      <c r="AP18">
        <v>108</v>
      </c>
      <c r="AQ18">
        <v>80</v>
      </c>
      <c r="AR18">
        <v>64</v>
      </c>
      <c r="AS18">
        <v>36</v>
      </c>
      <c r="AT18">
        <v>63</v>
      </c>
      <c r="AU18">
        <v>37</v>
      </c>
      <c r="AV18">
        <v>39</v>
      </c>
      <c r="AW18">
        <v>17</v>
      </c>
      <c r="AX18">
        <v>16</v>
      </c>
      <c r="AY18">
        <v>55</v>
      </c>
      <c r="AZ18">
        <v>26</v>
      </c>
      <c r="BA18">
        <v>62</v>
      </c>
      <c r="BB18">
        <v>121</v>
      </c>
      <c r="BC18">
        <v>64</v>
      </c>
      <c r="BD18">
        <v>36</v>
      </c>
      <c r="BE18">
        <v>27</v>
      </c>
      <c r="BF18">
        <v>14</v>
      </c>
      <c r="BG18">
        <v>75</v>
      </c>
      <c r="BH18">
        <v>38</v>
      </c>
      <c r="BI18">
        <v>19</v>
      </c>
      <c r="BJ18">
        <v>6</v>
      </c>
      <c r="BK18">
        <v>16</v>
      </c>
      <c r="BL18">
        <v>15</v>
      </c>
      <c r="BM18">
        <v>25</v>
      </c>
      <c r="BN18">
        <f t="shared" si="15"/>
        <v>2063</v>
      </c>
      <c r="BO18">
        <f t="shared" si="16"/>
        <v>152</v>
      </c>
      <c r="BP18">
        <f t="shared" si="17"/>
        <v>119</v>
      </c>
      <c r="BQ18">
        <f t="shared" si="18"/>
        <v>2334</v>
      </c>
      <c r="BU18" s="8"/>
      <c r="BW18" s="2">
        <f>BN19/BN18</f>
        <v>6.512845370819195</v>
      </c>
      <c r="BX18" s="2">
        <f>BO19/BO18</f>
        <v>5.065789473684211</v>
      </c>
      <c r="BY18" s="2">
        <f>BP19/BP18</f>
        <v>9.428571428571429</v>
      </c>
      <c r="BZ18" s="5">
        <f>BQ19/BQ18</f>
        <v>6.567266495287061</v>
      </c>
      <c r="CA18" s="2"/>
      <c r="CB18" s="2"/>
      <c r="CC18" s="2"/>
      <c r="CD18" s="5"/>
    </row>
    <row r="19" spans="4:82" ht="15.75">
      <c r="D19" t="s">
        <v>70</v>
      </c>
      <c r="AB19">
        <v>2216</v>
      </c>
      <c r="AD19">
        <v>460</v>
      </c>
      <c r="AE19">
        <v>463</v>
      </c>
      <c r="AF19">
        <v>312</v>
      </c>
      <c r="AG19">
        <v>720</v>
      </c>
      <c r="AH19">
        <v>189</v>
      </c>
      <c r="AI19">
        <v>1932</v>
      </c>
      <c r="AJ19">
        <v>333</v>
      </c>
      <c r="AK19">
        <v>668</v>
      </c>
      <c r="AL19">
        <v>975</v>
      </c>
      <c r="AM19">
        <v>557</v>
      </c>
      <c r="AN19">
        <v>512</v>
      </c>
      <c r="AO19">
        <v>795</v>
      </c>
      <c r="AP19">
        <v>501</v>
      </c>
      <c r="AQ19">
        <v>460</v>
      </c>
      <c r="AR19">
        <v>179</v>
      </c>
      <c r="AS19">
        <v>119</v>
      </c>
      <c r="AT19">
        <v>354</v>
      </c>
      <c r="AU19">
        <v>155</v>
      </c>
      <c r="AV19">
        <v>112</v>
      </c>
      <c r="AW19">
        <v>65</v>
      </c>
      <c r="AX19">
        <v>170</v>
      </c>
      <c r="AY19">
        <v>377</v>
      </c>
      <c r="AZ19">
        <v>120</v>
      </c>
      <c r="BA19">
        <v>161</v>
      </c>
      <c r="BB19">
        <v>286</v>
      </c>
      <c r="BC19">
        <v>245</v>
      </c>
      <c r="BD19">
        <v>235</v>
      </c>
      <c r="BE19">
        <v>73</v>
      </c>
      <c r="BF19">
        <v>113</v>
      </c>
      <c r="BG19">
        <v>349</v>
      </c>
      <c r="BH19">
        <v>385</v>
      </c>
      <c r="BI19">
        <v>188</v>
      </c>
      <c r="BJ19">
        <v>49</v>
      </c>
      <c r="BK19">
        <v>130</v>
      </c>
      <c r="BL19">
        <v>95</v>
      </c>
      <c r="BM19">
        <v>275</v>
      </c>
      <c r="BN19">
        <f t="shared" si="15"/>
        <v>13436</v>
      </c>
      <c r="BO19">
        <f t="shared" si="16"/>
        <v>770</v>
      </c>
      <c r="BP19">
        <f t="shared" si="17"/>
        <v>1122</v>
      </c>
      <c r="BQ19">
        <f t="shared" si="18"/>
        <v>15328</v>
      </c>
      <c r="BU19" s="8"/>
      <c r="BZ19" s="8"/>
      <c r="CD19" s="8"/>
    </row>
    <row r="20" spans="1:82" ht="15.75">
      <c r="A20" s="15" t="s">
        <v>86</v>
      </c>
      <c r="B20" t="s">
        <v>87</v>
      </c>
      <c r="C20" t="s">
        <v>88</v>
      </c>
      <c r="D20" t="s">
        <v>68</v>
      </c>
      <c r="E20">
        <v>1831</v>
      </c>
      <c r="G20">
        <v>128</v>
      </c>
      <c r="H20">
        <v>111</v>
      </c>
      <c r="I20">
        <v>30</v>
      </c>
      <c r="J20">
        <v>64</v>
      </c>
      <c r="K20">
        <v>39</v>
      </c>
      <c r="L20">
        <v>11</v>
      </c>
      <c r="M20">
        <v>18</v>
      </c>
      <c r="N20">
        <v>139</v>
      </c>
      <c r="O20">
        <v>187</v>
      </c>
      <c r="P20">
        <v>71</v>
      </c>
      <c r="Q20">
        <v>16</v>
      </c>
      <c r="R20">
        <v>145</v>
      </c>
      <c r="T20">
        <v>11</v>
      </c>
      <c r="U20">
        <v>365</v>
      </c>
      <c r="V20">
        <v>44</v>
      </c>
      <c r="W20">
        <v>45</v>
      </c>
      <c r="X20">
        <v>407</v>
      </c>
      <c r="Y20">
        <f aca="true" t="shared" si="21" ref="Y20:Y27">SUM(G20:X20)</f>
        <v>1831</v>
      </c>
      <c r="Z20">
        <f aca="true" t="shared" si="22" ref="Z20:Z25">SUM(G20:T20)</f>
        <v>970</v>
      </c>
      <c r="AB20">
        <f>13+8+1</f>
        <v>22</v>
      </c>
      <c r="AD20">
        <v>11</v>
      </c>
      <c r="AE20">
        <f>11+1</f>
        <v>12</v>
      </c>
      <c r="AF20">
        <v>6</v>
      </c>
      <c r="AG20">
        <v>9</v>
      </c>
      <c r="AH20">
        <v>8</v>
      </c>
      <c r="AI20">
        <v>20</v>
      </c>
      <c r="AJ20">
        <v>14</v>
      </c>
      <c r="AK20">
        <f>15+1</f>
        <v>16</v>
      </c>
      <c r="AL20">
        <f>9+1</f>
        <v>10</v>
      </c>
      <c r="AM20">
        <f>10+3</f>
        <v>13</v>
      </c>
      <c r="AN20">
        <v>11</v>
      </c>
      <c r="AO20">
        <v>14</v>
      </c>
      <c r="AP20">
        <f>1+17+2</f>
        <v>20</v>
      </c>
      <c r="AQ20">
        <v>20</v>
      </c>
      <c r="AR20">
        <f>1+8+1</f>
        <v>10</v>
      </c>
      <c r="AS20">
        <v>13</v>
      </c>
      <c r="AT20">
        <v>16</v>
      </c>
      <c r="AU20">
        <f>2+31</f>
        <v>33</v>
      </c>
      <c r="AV20">
        <v>12</v>
      </c>
      <c r="AW20">
        <v>6</v>
      </c>
      <c r="AX20">
        <f>9+1</f>
        <v>10</v>
      </c>
      <c r="AY20">
        <f>32+1</f>
        <v>33</v>
      </c>
      <c r="AZ20">
        <v>7</v>
      </c>
      <c r="BA20">
        <v>6</v>
      </c>
      <c r="BB20">
        <v>7</v>
      </c>
      <c r="BC20">
        <v>6</v>
      </c>
      <c r="BD20">
        <f>8+2</f>
        <v>10</v>
      </c>
      <c r="BE20">
        <v>4</v>
      </c>
      <c r="BF20">
        <v>3</v>
      </c>
      <c r="BG20">
        <v>21</v>
      </c>
      <c r="BH20">
        <f>1+12+5</f>
        <v>18</v>
      </c>
      <c r="BI20">
        <f>2+13+1</f>
        <v>16</v>
      </c>
      <c r="BJ20">
        <v>3</v>
      </c>
      <c r="BK20">
        <v>5</v>
      </c>
      <c r="BL20">
        <v>3</v>
      </c>
      <c r="BM20">
        <v>6</v>
      </c>
      <c r="BN20">
        <f t="shared" si="15"/>
        <v>365</v>
      </c>
      <c r="BO20">
        <f t="shared" si="16"/>
        <v>38</v>
      </c>
      <c r="BP20">
        <f t="shared" si="17"/>
        <v>51</v>
      </c>
      <c r="BQ20">
        <f t="shared" si="18"/>
        <v>454</v>
      </c>
      <c r="BU20" s="8"/>
      <c r="BW20" s="2">
        <f>BN21/BN20</f>
        <v>13.391780821917807</v>
      </c>
      <c r="BX20" s="2">
        <f>BO21/BO20</f>
        <v>6.894736842105263</v>
      </c>
      <c r="BY20" s="2">
        <f>BP21/BP20</f>
        <v>12.764705882352942</v>
      </c>
      <c r="BZ20" s="5">
        <f>BQ21/BQ20</f>
        <v>12.777533039647578</v>
      </c>
      <c r="CA20" s="2"/>
      <c r="CB20" s="2"/>
      <c r="CC20" s="2"/>
      <c r="CD20" s="5"/>
    </row>
    <row r="21" spans="4:82" ht="15.75">
      <c r="D21" t="s">
        <v>70</v>
      </c>
      <c r="E21">
        <v>26820</v>
      </c>
      <c r="G21">
        <v>4204</v>
      </c>
      <c r="H21">
        <v>1298</v>
      </c>
      <c r="I21">
        <v>370</v>
      </c>
      <c r="J21">
        <v>878</v>
      </c>
      <c r="K21">
        <v>721</v>
      </c>
      <c r="L21">
        <v>402</v>
      </c>
      <c r="M21">
        <v>473</v>
      </c>
      <c r="N21">
        <v>885</v>
      </c>
      <c r="O21">
        <v>3105</v>
      </c>
      <c r="P21">
        <v>1243</v>
      </c>
      <c r="Q21">
        <v>957</v>
      </c>
      <c r="R21">
        <v>893</v>
      </c>
      <c r="T21">
        <v>70</v>
      </c>
      <c r="U21">
        <v>4888</v>
      </c>
      <c r="V21">
        <v>324</v>
      </c>
      <c r="W21">
        <v>589</v>
      </c>
      <c r="X21">
        <v>5520</v>
      </c>
      <c r="Y21">
        <f t="shared" si="21"/>
        <v>26820</v>
      </c>
      <c r="Z21">
        <f t="shared" si="22"/>
        <v>15499</v>
      </c>
      <c r="AB21">
        <f>411+94+9</f>
        <v>514</v>
      </c>
      <c r="AD21">
        <v>112</v>
      </c>
      <c r="AE21">
        <f>111+10</f>
        <v>121</v>
      </c>
      <c r="AF21">
        <v>34</v>
      </c>
      <c r="AG21">
        <v>92</v>
      </c>
      <c r="AH21">
        <v>55</v>
      </c>
      <c r="AI21">
        <v>483</v>
      </c>
      <c r="AJ21">
        <v>237</v>
      </c>
      <c r="AK21">
        <f>238+28</f>
        <v>266</v>
      </c>
      <c r="AL21">
        <f>152+15</f>
        <v>167</v>
      </c>
      <c r="AM21">
        <f>153+30</f>
        <v>183</v>
      </c>
      <c r="AN21">
        <v>68</v>
      </c>
      <c r="AO21">
        <v>188</v>
      </c>
      <c r="AP21">
        <f>88+207+3</f>
        <v>298</v>
      </c>
      <c r="AQ21">
        <v>114</v>
      </c>
      <c r="AR21">
        <f>747+37+2</f>
        <v>786</v>
      </c>
      <c r="AS21">
        <v>114</v>
      </c>
      <c r="AT21">
        <v>103</v>
      </c>
      <c r="AU21">
        <f>290+97</f>
        <v>387</v>
      </c>
      <c r="AV21">
        <v>58</v>
      </c>
      <c r="AW21">
        <v>33</v>
      </c>
      <c r="AX21">
        <f>53+2</f>
        <v>55</v>
      </c>
      <c r="AY21">
        <f>268+10</f>
        <v>278</v>
      </c>
      <c r="AZ21">
        <v>32</v>
      </c>
      <c r="BA21">
        <v>22</v>
      </c>
      <c r="BB21">
        <v>45</v>
      </c>
      <c r="BC21">
        <v>43</v>
      </c>
      <c r="BD21">
        <f>60+4</f>
        <v>64</v>
      </c>
      <c r="BE21">
        <v>20</v>
      </c>
      <c r="BF21">
        <v>16</v>
      </c>
      <c r="BG21">
        <v>162</v>
      </c>
      <c r="BH21">
        <f>15+138+49</f>
        <v>202</v>
      </c>
      <c r="BI21">
        <f>63+130+13</f>
        <v>206</v>
      </c>
      <c r="BJ21">
        <v>30</v>
      </c>
      <c r="BK21">
        <v>50</v>
      </c>
      <c r="BL21">
        <v>43</v>
      </c>
      <c r="BM21">
        <v>120</v>
      </c>
      <c r="BN21">
        <f t="shared" si="15"/>
        <v>4888</v>
      </c>
      <c r="BO21">
        <f t="shared" si="16"/>
        <v>262</v>
      </c>
      <c r="BP21">
        <f t="shared" si="17"/>
        <v>651</v>
      </c>
      <c r="BQ21">
        <f t="shared" si="18"/>
        <v>5801</v>
      </c>
      <c r="BU21" s="8"/>
      <c r="BZ21" s="8"/>
      <c r="CD21" s="8"/>
    </row>
    <row r="22" spans="1:82" ht="15.75">
      <c r="A22" s="15" t="s">
        <v>89</v>
      </c>
      <c r="B22" t="s">
        <v>90</v>
      </c>
      <c r="C22" t="s">
        <v>91</v>
      </c>
      <c r="D22" t="s">
        <v>68</v>
      </c>
      <c r="E22">
        <v>2198</v>
      </c>
      <c r="G22">
        <v>690</v>
      </c>
      <c r="H22">
        <v>78</v>
      </c>
      <c r="I22">
        <v>21</v>
      </c>
      <c r="J22">
        <v>51</v>
      </c>
      <c r="K22">
        <v>12</v>
      </c>
      <c r="L22">
        <v>9</v>
      </c>
      <c r="M22">
        <v>64</v>
      </c>
      <c r="N22">
        <v>107</v>
      </c>
      <c r="O22">
        <v>273</v>
      </c>
      <c r="P22">
        <v>63</v>
      </c>
      <c r="Q22">
        <v>16</v>
      </c>
      <c r="R22">
        <v>142</v>
      </c>
      <c r="S22">
        <v>12</v>
      </c>
      <c r="T22">
        <v>63</v>
      </c>
      <c r="U22">
        <v>384</v>
      </c>
      <c r="V22">
        <v>28</v>
      </c>
      <c r="W22">
        <v>37</v>
      </c>
      <c r="X22">
        <v>148</v>
      </c>
      <c r="Y22">
        <f t="shared" si="21"/>
        <v>2198</v>
      </c>
      <c r="Z22">
        <f t="shared" si="22"/>
        <v>1601</v>
      </c>
      <c r="AB22">
        <f>6+1+101</f>
        <v>108</v>
      </c>
      <c r="AD22">
        <v>11</v>
      </c>
      <c r="AE22">
        <v>16</v>
      </c>
      <c r="AF22">
        <v>1</v>
      </c>
      <c r="AG22">
        <v>11</v>
      </c>
      <c r="AH22">
        <v>6</v>
      </c>
      <c r="AI22">
        <v>6</v>
      </c>
      <c r="AJ22">
        <v>10</v>
      </c>
      <c r="AK22">
        <v>16</v>
      </c>
      <c r="AL22">
        <v>12</v>
      </c>
      <c r="AM22">
        <v>12</v>
      </c>
      <c r="AN22">
        <v>4</v>
      </c>
      <c r="AO22">
        <v>15</v>
      </c>
      <c r="AP22">
        <f>1+1+30</f>
        <v>32</v>
      </c>
      <c r="AQ22">
        <v>13</v>
      </c>
      <c r="AR22">
        <v>9</v>
      </c>
      <c r="AS22">
        <v>9</v>
      </c>
      <c r="AT22">
        <v>14</v>
      </c>
      <c r="AU22">
        <f>2+5</f>
        <v>7</v>
      </c>
      <c r="AV22">
        <v>7</v>
      </c>
      <c r="AX22">
        <v>14</v>
      </c>
      <c r="AZ22">
        <v>7</v>
      </c>
      <c r="BA22">
        <v>11</v>
      </c>
      <c r="BB22">
        <v>27</v>
      </c>
      <c r="BC22">
        <v>6</v>
      </c>
      <c r="BD22">
        <v>12</v>
      </c>
      <c r="BF22">
        <v>7</v>
      </c>
      <c r="BG22">
        <v>9</v>
      </c>
      <c r="BH22">
        <v>9</v>
      </c>
      <c r="BI22">
        <v>5</v>
      </c>
      <c r="BJ22">
        <v>6</v>
      </c>
      <c r="BK22">
        <v>4</v>
      </c>
      <c r="BL22">
        <v>9</v>
      </c>
      <c r="BM22">
        <v>4</v>
      </c>
      <c r="BN22">
        <f t="shared" si="15"/>
        <v>384</v>
      </c>
      <c r="BO22">
        <f t="shared" si="16"/>
        <v>28</v>
      </c>
      <c r="BP22">
        <f t="shared" si="17"/>
        <v>37</v>
      </c>
      <c r="BQ22">
        <f t="shared" si="18"/>
        <v>449</v>
      </c>
      <c r="BU22" s="8"/>
      <c r="BW22" s="2">
        <f>BN23/BN22</f>
        <v>15.1875</v>
      </c>
      <c r="BX22" s="2">
        <f>BO23/BO22</f>
        <v>11.25</v>
      </c>
      <c r="BY22" s="2">
        <f>BP23/BP22</f>
        <v>13.45945945945946</v>
      </c>
      <c r="BZ22" s="5">
        <f>BQ23/BQ22</f>
        <v>14.799554565701559</v>
      </c>
      <c r="CA22" s="2"/>
      <c r="CB22" s="2"/>
      <c r="CC22" s="2"/>
      <c r="CD22" s="5"/>
    </row>
    <row r="23" spans="4:82" ht="15.75">
      <c r="D23" t="s">
        <v>70</v>
      </c>
      <c r="E23">
        <v>51564</v>
      </c>
      <c r="G23">
        <v>26141</v>
      </c>
      <c r="H23">
        <v>937</v>
      </c>
      <c r="I23">
        <v>327</v>
      </c>
      <c r="J23">
        <v>1131</v>
      </c>
      <c r="K23">
        <v>227</v>
      </c>
      <c r="L23">
        <v>772</v>
      </c>
      <c r="M23">
        <v>1918</v>
      </c>
      <c r="N23">
        <v>1004</v>
      </c>
      <c r="O23">
        <v>5377</v>
      </c>
      <c r="P23">
        <v>1218</v>
      </c>
      <c r="Q23">
        <v>242</v>
      </c>
      <c r="R23">
        <v>1112</v>
      </c>
      <c r="S23">
        <v>158</v>
      </c>
      <c r="T23">
        <v>644</v>
      </c>
      <c r="U23">
        <v>5832</v>
      </c>
      <c r="V23">
        <v>315</v>
      </c>
      <c r="W23">
        <v>498</v>
      </c>
      <c r="X23">
        <v>3711</v>
      </c>
      <c r="Y23">
        <f t="shared" si="21"/>
        <v>51564</v>
      </c>
      <c r="Z23">
        <f t="shared" si="22"/>
        <v>41208</v>
      </c>
      <c r="AB23">
        <f>68+2919+2</f>
        <v>2989</v>
      </c>
      <c r="AD23">
        <v>113</v>
      </c>
      <c r="AE23">
        <v>141</v>
      </c>
      <c r="AF23">
        <v>9</v>
      </c>
      <c r="AG23">
        <v>195</v>
      </c>
      <c r="AH23">
        <v>69</v>
      </c>
      <c r="AI23">
        <v>145</v>
      </c>
      <c r="AJ23">
        <v>74</v>
      </c>
      <c r="AK23">
        <v>221</v>
      </c>
      <c r="AL23">
        <v>186</v>
      </c>
      <c r="AM23">
        <v>232</v>
      </c>
      <c r="AN23">
        <v>41</v>
      </c>
      <c r="AO23">
        <v>257</v>
      </c>
      <c r="AP23">
        <f>10+54+233</f>
        <v>297</v>
      </c>
      <c r="AQ23">
        <v>161</v>
      </c>
      <c r="AR23">
        <v>59</v>
      </c>
      <c r="AS23">
        <v>51</v>
      </c>
      <c r="AT23">
        <v>100</v>
      </c>
      <c r="AU23">
        <f>23+49</f>
        <v>72</v>
      </c>
      <c r="AV23">
        <v>41</v>
      </c>
      <c r="AX23">
        <v>158</v>
      </c>
      <c r="AZ23">
        <v>37</v>
      </c>
      <c r="BA23">
        <v>55</v>
      </c>
      <c r="BB23">
        <v>83</v>
      </c>
      <c r="BC23">
        <v>46</v>
      </c>
      <c r="BD23">
        <v>168</v>
      </c>
      <c r="BF23">
        <v>98</v>
      </c>
      <c r="BG23">
        <v>49</v>
      </c>
      <c r="BH23">
        <v>124</v>
      </c>
      <c r="BI23">
        <v>86</v>
      </c>
      <c r="BJ23">
        <v>55</v>
      </c>
      <c r="BK23">
        <v>33</v>
      </c>
      <c r="BL23">
        <v>120</v>
      </c>
      <c r="BM23">
        <v>80</v>
      </c>
      <c r="BN23">
        <f t="shared" si="15"/>
        <v>5832</v>
      </c>
      <c r="BO23">
        <f t="shared" si="16"/>
        <v>315</v>
      </c>
      <c r="BP23">
        <f t="shared" si="17"/>
        <v>498</v>
      </c>
      <c r="BQ23">
        <f t="shared" si="18"/>
        <v>6645</v>
      </c>
      <c r="BU23" s="8"/>
      <c r="BZ23" s="8"/>
      <c r="CD23" s="8"/>
    </row>
    <row r="24" spans="1:82" ht="15.75">
      <c r="A24" s="15" t="s">
        <v>92</v>
      </c>
      <c r="B24" t="s">
        <v>93</v>
      </c>
      <c r="C24" t="s">
        <v>94</v>
      </c>
      <c r="D24" t="s">
        <v>68</v>
      </c>
      <c r="E24">
        <v>5297</v>
      </c>
      <c r="G24">
        <v>1186</v>
      </c>
      <c r="H24">
        <v>182</v>
      </c>
      <c r="I24">
        <v>55</v>
      </c>
      <c r="J24">
        <v>149</v>
      </c>
      <c r="K24">
        <v>50</v>
      </c>
      <c r="L24">
        <v>40</v>
      </c>
      <c r="M24">
        <v>75</v>
      </c>
      <c r="N24">
        <v>195</v>
      </c>
      <c r="O24">
        <v>1423</v>
      </c>
      <c r="P24">
        <v>277</v>
      </c>
      <c r="Q24">
        <v>67</v>
      </c>
      <c r="R24">
        <v>324</v>
      </c>
      <c r="S24">
        <v>26</v>
      </c>
      <c r="T24">
        <v>57</v>
      </c>
      <c r="U24">
        <v>844</v>
      </c>
      <c r="V24">
        <v>61</v>
      </c>
      <c r="W24">
        <v>82</v>
      </c>
      <c r="X24">
        <v>204</v>
      </c>
      <c r="Y24">
        <f t="shared" si="21"/>
        <v>5297</v>
      </c>
      <c r="Z24">
        <f t="shared" si="22"/>
        <v>4106</v>
      </c>
      <c r="AB24">
        <f>2+1+1+5+9+1+21+4+1+6+18</f>
        <v>69</v>
      </c>
      <c r="AD24">
        <f>3+1+2+1</f>
        <v>7</v>
      </c>
      <c r="AE24">
        <f>8+1</f>
        <v>9</v>
      </c>
      <c r="AF24">
        <v>1</v>
      </c>
      <c r="AG24">
        <f>3+3</f>
        <v>6</v>
      </c>
      <c r="AH24">
        <v>3</v>
      </c>
      <c r="AJ24">
        <f>1+5+1</f>
        <v>7</v>
      </c>
      <c r="AK24">
        <f>4+1</f>
        <v>5</v>
      </c>
      <c r="AL24">
        <f>1+3+8+1</f>
        <v>13</v>
      </c>
      <c r="AM24">
        <f>4+3+4</f>
        <v>11</v>
      </c>
      <c r="AN24">
        <f>1+1+1</f>
        <v>3</v>
      </c>
      <c r="AO24">
        <f>6+1</f>
        <v>7</v>
      </c>
      <c r="AP24">
        <f>1+7+3+4</f>
        <v>15</v>
      </c>
      <c r="AQ24">
        <f>1+2+5</f>
        <v>8</v>
      </c>
      <c r="AR24">
        <f>1+5+1+8+2</f>
        <v>17</v>
      </c>
      <c r="AS24">
        <f>5+1+3</f>
        <v>9</v>
      </c>
      <c r="AT24">
        <f>3+4+5</f>
        <v>12</v>
      </c>
      <c r="AU24">
        <f>1+2+4</f>
        <v>7</v>
      </c>
      <c r="AV24">
        <f>4+1+4</f>
        <v>9</v>
      </c>
      <c r="AW24">
        <v>1</v>
      </c>
      <c r="AX24">
        <f>1+5+1</f>
        <v>7</v>
      </c>
      <c r="AY24">
        <f>2+2</f>
        <v>4</v>
      </c>
      <c r="AZ24">
        <v>2</v>
      </c>
      <c r="BA24">
        <f>3+1</f>
        <v>4</v>
      </c>
      <c r="BB24">
        <f>8+2+1</f>
        <v>11</v>
      </c>
      <c r="BC24">
        <f>1+2</f>
        <v>3</v>
      </c>
      <c r="BD24">
        <f>2+1+5</f>
        <v>8</v>
      </c>
      <c r="BE24">
        <f>1+1</f>
        <v>2</v>
      </c>
      <c r="BF24">
        <v>1</v>
      </c>
      <c r="BG24">
        <f>3+3</f>
        <v>6</v>
      </c>
      <c r="BH24">
        <f>1+2+5</f>
        <v>8</v>
      </c>
      <c r="BI24">
        <f>5+1+4</f>
        <v>10</v>
      </c>
      <c r="BK24">
        <f>1+1</f>
        <v>2</v>
      </c>
      <c r="BL24">
        <f>2+2+2</f>
        <v>6</v>
      </c>
      <c r="BM24">
        <v>3</v>
      </c>
      <c r="BN24">
        <f t="shared" si="15"/>
        <v>250</v>
      </c>
      <c r="BO24">
        <f t="shared" si="16"/>
        <v>17</v>
      </c>
      <c r="BP24">
        <f t="shared" si="17"/>
        <v>29</v>
      </c>
      <c r="BQ24">
        <f t="shared" si="18"/>
        <v>296</v>
      </c>
      <c r="BR24">
        <f aca="true" t="shared" si="23" ref="BR24:BT25">BN24+BN26</f>
        <v>844</v>
      </c>
      <c r="BS24">
        <f t="shared" si="23"/>
        <v>61</v>
      </c>
      <c r="BT24">
        <f t="shared" si="23"/>
        <v>82</v>
      </c>
      <c r="BU24" s="8">
        <f>SUM(BR24:BT24)</f>
        <v>987</v>
      </c>
      <c r="BW24" s="2">
        <f aca="true" t="shared" si="24" ref="BW24:CD24">BN25/BN24</f>
        <v>11.12</v>
      </c>
      <c r="BX24" s="2">
        <f t="shared" si="24"/>
        <v>4.235294117647059</v>
      </c>
      <c r="BY24" s="2">
        <f t="shared" si="24"/>
        <v>8.689655172413794</v>
      </c>
      <c r="BZ24" s="5">
        <f t="shared" si="24"/>
        <v>10.486486486486486</v>
      </c>
      <c r="CA24" s="2">
        <f t="shared" si="24"/>
        <v>9.25</v>
      </c>
      <c r="CB24" s="2">
        <f t="shared" si="24"/>
        <v>5.770491803278689</v>
      </c>
      <c r="CC24" s="2">
        <f t="shared" si="24"/>
        <v>8.878048780487806</v>
      </c>
      <c r="CD24" s="5">
        <f t="shared" si="24"/>
        <v>9.00405268490375</v>
      </c>
    </row>
    <row r="25" spans="4:82" ht="15.75">
      <c r="D25" t="s">
        <v>70</v>
      </c>
      <c r="E25">
        <v>83510</v>
      </c>
      <c r="G25">
        <v>47260</v>
      </c>
      <c r="H25">
        <v>2932</v>
      </c>
      <c r="I25">
        <v>535</v>
      </c>
      <c r="J25">
        <v>2035</v>
      </c>
      <c r="K25">
        <v>447</v>
      </c>
      <c r="L25">
        <v>526</v>
      </c>
      <c r="M25">
        <v>1104</v>
      </c>
      <c r="N25">
        <v>2083</v>
      </c>
      <c r="O25">
        <v>8828</v>
      </c>
      <c r="P25">
        <v>3396</v>
      </c>
      <c r="Q25">
        <v>809</v>
      </c>
      <c r="R25">
        <v>1958</v>
      </c>
      <c r="S25">
        <v>178</v>
      </c>
      <c r="T25">
        <v>236</v>
      </c>
      <c r="U25">
        <v>7807</v>
      </c>
      <c r="V25">
        <v>352</v>
      </c>
      <c r="W25">
        <v>728</v>
      </c>
      <c r="X25">
        <v>2296</v>
      </c>
      <c r="Y25">
        <f t="shared" si="21"/>
        <v>83510</v>
      </c>
      <c r="Z25">
        <f t="shared" si="22"/>
        <v>72327</v>
      </c>
      <c r="AB25">
        <f>20+4+3+48+68+6+277+132+21+70+159</f>
        <v>808</v>
      </c>
      <c r="AD25">
        <f>19+6+19+6</f>
        <v>50</v>
      </c>
      <c r="AE25">
        <f>118+27</f>
        <v>145</v>
      </c>
      <c r="AF25">
        <v>6</v>
      </c>
      <c r="AG25">
        <f>42+14</f>
        <v>56</v>
      </c>
      <c r="AH25">
        <v>18</v>
      </c>
      <c r="AJ25">
        <f>4+71+10</f>
        <v>85</v>
      </c>
      <c r="AK25">
        <f>51+16</f>
        <v>67</v>
      </c>
      <c r="AL25">
        <f>17+82+74+7</f>
        <v>180</v>
      </c>
      <c r="AM25">
        <f>28+41+28</f>
        <v>97</v>
      </c>
      <c r="AN25">
        <f>2+7+2</f>
        <v>11</v>
      </c>
      <c r="AO25">
        <f>69+44</f>
        <v>113</v>
      </c>
      <c r="AP25">
        <f>1+20+18+13</f>
        <v>52</v>
      </c>
      <c r="AQ25">
        <f>5+8+29</f>
        <v>42</v>
      </c>
      <c r="AR25">
        <f>125+12+2+26+2</f>
        <v>167</v>
      </c>
      <c r="AS25">
        <f>17+5+7</f>
        <v>29</v>
      </c>
      <c r="AT25">
        <f>23+19+38</f>
        <v>80</v>
      </c>
      <c r="AU25">
        <f>6+23+9</f>
        <v>38</v>
      </c>
      <c r="AV25">
        <f>13+4+10</f>
        <v>27</v>
      </c>
      <c r="AW25">
        <v>2</v>
      </c>
      <c r="AX25">
        <f>2+36+6</f>
        <v>44</v>
      </c>
      <c r="AY25">
        <f>19+559</f>
        <v>578</v>
      </c>
      <c r="AZ25">
        <v>13</v>
      </c>
      <c r="BA25">
        <f>9+10</f>
        <v>19</v>
      </c>
      <c r="BB25">
        <f>17+17+2</f>
        <v>36</v>
      </c>
      <c r="BC25">
        <f>5+12</f>
        <v>17</v>
      </c>
      <c r="BD25">
        <f>3+8+12</f>
        <v>23</v>
      </c>
      <c r="BE25">
        <f>6+7</f>
        <v>13</v>
      </c>
      <c r="BF25">
        <v>14</v>
      </c>
      <c r="BG25">
        <f>18+4</f>
        <v>22</v>
      </c>
      <c r="BH25">
        <f>13+24+39</f>
        <v>76</v>
      </c>
      <c r="BI25">
        <f>42+9+28</f>
        <v>79</v>
      </c>
      <c r="BK25">
        <f>8+7</f>
        <v>15</v>
      </c>
      <c r="BL25">
        <f>32+10+19</f>
        <v>61</v>
      </c>
      <c r="BM25">
        <v>21</v>
      </c>
      <c r="BN25">
        <f t="shared" si="15"/>
        <v>2780</v>
      </c>
      <c r="BO25">
        <f t="shared" si="16"/>
        <v>72</v>
      </c>
      <c r="BP25">
        <f t="shared" si="17"/>
        <v>252</v>
      </c>
      <c r="BQ25">
        <f t="shared" si="18"/>
        <v>3104</v>
      </c>
      <c r="BR25">
        <f t="shared" si="23"/>
        <v>7807</v>
      </c>
      <c r="BS25">
        <f t="shared" si="23"/>
        <v>352</v>
      </c>
      <c r="BT25">
        <f t="shared" si="23"/>
        <v>728</v>
      </c>
      <c r="BU25" s="8">
        <f>SUM(BR25:BT25)</f>
        <v>8887</v>
      </c>
      <c r="BZ25" s="8"/>
      <c r="CD25" s="8"/>
    </row>
    <row r="26" spans="2:82" ht="15.75">
      <c r="B26" t="s">
        <v>95</v>
      </c>
      <c r="C26" t="s">
        <v>96</v>
      </c>
      <c r="D26" t="s">
        <v>68</v>
      </c>
      <c r="Y26">
        <f t="shared" si="21"/>
        <v>0</v>
      </c>
      <c r="AB26">
        <v>64</v>
      </c>
      <c r="AD26">
        <v>26</v>
      </c>
      <c r="AE26">
        <v>6</v>
      </c>
      <c r="AF26">
        <v>11</v>
      </c>
      <c r="AG26">
        <v>16</v>
      </c>
      <c r="AH26">
        <v>12</v>
      </c>
      <c r="AI26">
        <v>37</v>
      </c>
      <c r="AJ26">
        <v>17</v>
      </c>
      <c r="AK26">
        <v>28</v>
      </c>
      <c r="AL26">
        <v>25</v>
      </c>
      <c r="AM26">
        <v>25</v>
      </c>
      <c r="AN26">
        <v>24</v>
      </c>
      <c r="AO26">
        <v>41</v>
      </c>
      <c r="AP26">
        <v>32</v>
      </c>
      <c r="AQ26">
        <v>27</v>
      </c>
      <c r="AR26">
        <v>13</v>
      </c>
      <c r="AS26">
        <v>13</v>
      </c>
      <c r="AT26">
        <v>19</v>
      </c>
      <c r="AU26">
        <v>16</v>
      </c>
      <c r="AV26">
        <v>23</v>
      </c>
      <c r="AW26">
        <v>3</v>
      </c>
      <c r="AX26">
        <v>8</v>
      </c>
      <c r="AY26">
        <v>21</v>
      </c>
      <c r="AZ26">
        <v>6</v>
      </c>
      <c r="BA26">
        <v>35</v>
      </c>
      <c r="BB26">
        <v>29</v>
      </c>
      <c r="BC26">
        <v>17</v>
      </c>
      <c r="BD26">
        <v>14</v>
      </c>
      <c r="BE26">
        <v>4</v>
      </c>
      <c r="BF26">
        <v>11</v>
      </c>
      <c r="BG26">
        <v>15</v>
      </c>
      <c r="BH26">
        <v>16</v>
      </c>
      <c r="BI26">
        <v>12</v>
      </c>
      <c r="BJ26">
        <v>2</v>
      </c>
      <c r="BK26">
        <v>8</v>
      </c>
      <c r="BL26">
        <v>5</v>
      </c>
      <c r="BM26">
        <v>10</v>
      </c>
      <c r="BN26">
        <f t="shared" si="15"/>
        <v>594</v>
      </c>
      <c r="BO26">
        <f t="shared" si="16"/>
        <v>44</v>
      </c>
      <c r="BP26">
        <f t="shared" si="17"/>
        <v>53</v>
      </c>
      <c r="BQ26">
        <f t="shared" si="18"/>
        <v>691</v>
      </c>
      <c r="BR26" s="3">
        <f aca="true" t="shared" si="25" ref="BR26:BT27">BR14+BN20+BN22+BR24</f>
        <v>13908</v>
      </c>
      <c r="BS26" s="3">
        <f t="shared" si="25"/>
        <v>1214</v>
      </c>
      <c r="BT26" s="3">
        <f t="shared" si="25"/>
        <v>591</v>
      </c>
      <c r="BU26" s="4">
        <f>SUM(BR26:BT26)</f>
        <v>15713</v>
      </c>
      <c r="BV26" s="3" t="s">
        <v>97</v>
      </c>
      <c r="BW26" s="2">
        <f aca="true" t="shared" si="26" ref="BW26:CD26">BN27/BN26</f>
        <v>8.462962962962964</v>
      </c>
      <c r="BX26" s="2">
        <f t="shared" si="26"/>
        <v>6.363636363636363</v>
      </c>
      <c r="BY26" s="2">
        <f t="shared" si="26"/>
        <v>8.981132075471699</v>
      </c>
      <c r="BZ26" s="5">
        <f t="shared" si="26"/>
        <v>8.369030390738061</v>
      </c>
      <c r="CA26" s="6">
        <f t="shared" si="26"/>
        <v>6.211173425366695</v>
      </c>
      <c r="CB26" s="6">
        <f t="shared" si="26"/>
        <v>3.539538714991763</v>
      </c>
      <c r="CC26" s="6">
        <f t="shared" si="26"/>
        <v>9.008460236886632</v>
      </c>
      <c r="CD26" s="7">
        <f t="shared" si="26"/>
        <v>6.109972634124611</v>
      </c>
    </row>
    <row r="27" spans="4:82" ht="15.75">
      <c r="D27" t="s">
        <v>70</v>
      </c>
      <c r="Y27">
        <f t="shared" si="21"/>
        <v>0</v>
      </c>
      <c r="AB27">
        <v>823</v>
      </c>
      <c r="AD27">
        <v>197</v>
      </c>
      <c r="AE27">
        <v>66</v>
      </c>
      <c r="AF27">
        <v>59</v>
      </c>
      <c r="AG27">
        <v>169</v>
      </c>
      <c r="AH27">
        <v>92</v>
      </c>
      <c r="AI27">
        <v>893</v>
      </c>
      <c r="AJ27">
        <v>192</v>
      </c>
      <c r="AK27">
        <v>257</v>
      </c>
      <c r="AL27">
        <v>263</v>
      </c>
      <c r="AM27">
        <v>296</v>
      </c>
      <c r="AN27">
        <v>129</v>
      </c>
      <c r="AO27">
        <v>306</v>
      </c>
      <c r="AP27">
        <v>166</v>
      </c>
      <c r="AQ27">
        <v>184</v>
      </c>
      <c r="AR27">
        <v>61</v>
      </c>
      <c r="AS27">
        <v>34</v>
      </c>
      <c r="AT27">
        <v>134</v>
      </c>
      <c r="AU27">
        <v>53</v>
      </c>
      <c r="AV27">
        <v>89</v>
      </c>
      <c r="AW27">
        <v>19</v>
      </c>
      <c r="AX27">
        <v>74</v>
      </c>
      <c r="AY27">
        <v>171</v>
      </c>
      <c r="AZ27">
        <v>27</v>
      </c>
      <c r="BA27">
        <v>127</v>
      </c>
      <c r="BB27">
        <v>92</v>
      </c>
      <c r="BC27">
        <v>54</v>
      </c>
      <c r="BD27">
        <v>124</v>
      </c>
      <c r="BE27">
        <v>16</v>
      </c>
      <c r="BF27">
        <v>41</v>
      </c>
      <c r="BG27">
        <v>99</v>
      </c>
      <c r="BH27">
        <v>130</v>
      </c>
      <c r="BI27">
        <v>98</v>
      </c>
      <c r="BJ27">
        <v>14</v>
      </c>
      <c r="BK27">
        <v>72</v>
      </c>
      <c r="BL27">
        <v>42</v>
      </c>
      <c r="BM27">
        <v>120</v>
      </c>
      <c r="BN27">
        <f t="shared" si="15"/>
        <v>5027</v>
      </c>
      <c r="BO27">
        <f t="shared" si="16"/>
        <v>280</v>
      </c>
      <c r="BP27">
        <f t="shared" si="17"/>
        <v>476</v>
      </c>
      <c r="BQ27">
        <f t="shared" si="18"/>
        <v>5783</v>
      </c>
      <c r="BR27" s="3">
        <f t="shared" si="25"/>
        <v>86385</v>
      </c>
      <c r="BS27" s="3">
        <f t="shared" si="25"/>
        <v>4297</v>
      </c>
      <c r="BT27" s="3">
        <f t="shared" si="25"/>
        <v>5324</v>
      </c>
      <c r="BU27" s="4">
        <f>SUM(BR27:BT27)</f>
        <v>96006</v>
      </c>
      <c r="BV27" s="3"/>
      <c r="BZ27" s="8"/>
      <c r="CD27" s="8"/>
    </row>
    <row r="28" spans="1:256" ht="15.75">
      <c r="A28" s="14"/>
      <c r="B28" s="3" t="s">
        <v>97</v>
      </c>
      <c r="C28" s="3"/>
      <c r="D28" s="3" t="s">
        <v>68</v>
      </c>
      <c r="E28" s="3">
        <f>E14+E20+E22+E24</f>
        <v>63876</v>
      </c>
      <c r="F28" s="3"/>
      <c r="G28" s="3">
        <f aca="true" t="shared" si="27" ref="G28:Z28">G14+G20+G22+G24</f>
        <v>7063</v>
      </c>
      <c r="H28" s="3">
        <f t="shared" si="27"/>
        <v>3255</v>
      </c>
      <c r="I28" s="3">
        <f t="shared" si="27"/>
        <v>571</v>
      </c>
      <c r="J28" s="3">
        <f t="shared" si="27"/>
        <v>2975</v>
      </c>
      <c r="K28" s="3">
        <f t="shared" si="27"/>
        <v>1439</v>
      </c>
      <c r="L28" s="3">
        <f t="shared" si="27"/>
        <v>984</v>
      </c>
      <c r="M28" s="3">
        <f t="shared" si="27"/>
        <v>545</v>
      </c>
      <c r="N28" s="3">
        <f t="shared" si="27"/>
        <v>2434</v>
      </c>
      <c r="O28" s="3">
        <f t="shared" si="27"/>
        <v>14688</v>
      </c>
      <c r="P28" s="3">
        <f t="shared" si="27"/>
        <v>5464</v>
      </c>
      <c r="Q28" s="3">
        <f t="shared" si="27"/>
        <v>1297</v>
      </c>
      <c r="R28" s="3">
        <f t="shared" si="27"/>
        <v>3252</v>
      </c>
      <c r="S28" s="3">
        <f t="shared" si="27"/>
        <v>427</v>
      </c>
      <c r="T28" s="3">
        <f t="shared" si="27"/>
        <v>410</v>
      </c>
      <c r="U28" s="3">
        <f t="shared" si="27"/>
        <v>13908</v>
      </c>
      <c r="V28" s="3">
        <f t="shared" si="27"/>
        <v>1220</v>
      </c>
      <c r="W28" s="3">
        <f t="shared" si="27"/>
        <v>585</v>
      </c>
      <c r="X28" s="3">
        <f t="shared" si="27"/>
        <v>3359</v>
      </c>
      <c r="Y28" s="3">
        <f t="shared" si="27"/>
        <v>63876</v>
      </c>
      <c r="Z28" s="3">
        <f t="shared" si="27"/>
        <v>44804</v>
      </c>
      <c r="AA28" s="3"/>
      <c r="AB28" s="3">
        <f>AB14+AB16+AB18+AB20+AB22+AB24+AB26</f>
        <v>549</v>
      </c>
      <c r="AC28" s="3"/>
      <c r="AD28" s="3">
        <f aca="true" t="shared" si="28" ref="AD28:BQ28">AD14+AD16+AD18+AD20+AD22+AD24+AD26</f>
        <v>649</v>
      </c>
      <c r="AE28" s="3">
        <f t="shared" si="28"/>
        <v>469</v>
      </c>
      <c r="AF28" s="3">
        <f t="shared" si="28"/>
        <v>395</v>
      </c>
      <c r="AG28" s="3">
        <f t="shared" si="28"/>
        <v>617</v>
      </c>
      <c r="AH28" s="3">
        <f t="shared" si="28"/>
        <v>137</v>
      </c>
      <c r="AI28" s="3">
        <f t="shared" si="28"/>
        <v>272</v>
      </c>
      <c r="AJ28" s="3">
        <f t="shared" si="28"/>
        <v>442</v>
      </c>
      <c r="AK28" s="3">
        <f t="shared" si="28"/>
        <v>674</v>
      </c>
      <c r="AL28" s="3">
        <f t="shared" si="28"/>
        <v>964</v>
      </c>
      <c r="AM28" s="3">
        <f t="shared" si="28"/>
        <v>588</v>
      </c>
      <c r="AN28" s="3">
        <f t="shared" si="28"/>
        <v>735</v>
      </c>
      <c r="AO28" s="3">
        <f t="shared" si="28"/>
        <v>927</v>
      </c>
      <c r="AP28" s="3">
        <f t="shared" si="28"/>
        <v>772</v>
      </c>
      <c r="AQ28" s="3">
        <f t="shared" si="28"/>
        <v>540</v>
      </c>
      <c r="AR28" s="3">
        <f t="shared" si="28"/>
        <v>726</v>
      </c>
      <c r="AS28" s="3">
        <f t="shared" si="28"/>
        <v>435</v>
      </c>
      <c r="AT28" s="3">
        <f t="shared" si="28"/>
        <v>648</v>
      </c>
      <c r="AU28" s="3">
        <f t="shared" si="28"/>
        <v>428</v>
      </c>
      <c r="AV28" s="3">
        <f t="shared" si="28"/>
        <v>402</v>
      </c>
      <c r="AW28" s="3">
        <f t="shared" si="28"/>
        <v>100</v>
      </c>
      <c r="AX28" s="3">
        <f t="shared" si="28"/>
        <v>83</v>
      </c>
      <c r="AY28" s="3">
        <f t="shared" si="28"/>
        <v>548</v>
      </c>
      <c r="AZ28" s="3">
        <f t="shared" si="28"/>
        <v>250</v>
      </c>
      <c r="BA28" s="3">
        <f t="shared" si="28"/>
        <v>579</v>
      </c>
      <c r="BB28" s="3">
        <f t="shared" si="28"/>
        <v>741</v>
      </c>
      <c r="BC28" s="3">
        <f t="shared" si="28"/>
        <v>238</v>
      </c>
      <c r="BD28" s="3">
        <f t="shared" si="28"/>
        <v>272</v>
      </c>
      <c r="BE28" s="3">
        <f t="shared" si="28"/>
        <v>180</v>
      </c>
      <c r="BF28" s="3">
        <f t="shared" si="28"/>
        <v>82</v>
      </c>
      <c r="BG28" s="3">
        <f t="shared" si="28"/>
        <v>680</v>
      </c>
      <c r="BH28" s="3">
        <f t="shared" si="28"/>
        <v>207</v>
      </c>
      <c r="BI28" s="3">
        <f t="shared" si="28"/>
        <v>81</v>
      </c>
      <c r="BJ28" s="3">
        <f t="shared" si="28"/>
        <v>36</v>
      </c>
      <c r="BK28" s="3">
        <f t="shared" si="28"/>
        <v>77</v>
      </c>
      <c r="BL28" s="3">
        <f t="shared" si="28"/>
        <v>94</v>
      </c>
      <c r="BM28" s="3">
        <f t="shared" si="28"/>
        <v>96</v>
      </c>
      <c r="BN28" s="3">
        <f t="shared" si="28"/>
        <v>13908</v>
      </c>
      <c r="BO28" s="3">
        <f t="shared" si="28"/>
        <v>1214</v>
      </c>
      <c r="BP28" s="3">
        <f t="shared" si="28"/>
        <v>591</v>
      </c>
      <c r="BQ28" s="3">
        <f t="shared" si="28"/>
        <v>15713</v>
      </c>
      <c r="BR28" s="3"/>
      <c r="BS28" s="3"/>
      <c r="BT28" s="3"/>
      <c r="BU28" s="4"/>
      <c r="BV28" s="3"/>
      <c r="BW28" s="3"/>
      <c r="BX28" s="3"/>
      <c r="BY28" s="3"/>
      <c r="BZ28" s="4"/>
      <c r="CA28" s="3"/>
      <c r="CB28" s="3"/>
      <c r="CC28" s="3"/>
      <c r="CD28" s="4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>
      <c r="A29" s="14"/>
      <c r="B29" s="3"/>
      <c r="C29" s="3"/>
      <c r="D29" s="3" t="s">
        <v>70</v>
      </c>
      <c r="E29" s="3">
        <f>E15+E21+E23+E25</f>
        <v>666281</v>
      </c>
      <c r="F29" s="3"/>
      <c r="G29" s="3">
        <f aca="true" t="shared" si="29" ref="G29:Z29">G15+G21+G23+G25</f>
        <v>170099</v>
      </c>
      <c r="H29" s="3">
        <f t="shared" si="29"/>
        <v>42077</v>
      </c>
      <c r="I29" s="3">
        <f t="shared" si="29"/>
        <v>6420</v>
      </c>
      <c r="J29" s="3">
        <f t="shared" si="29"/>
        <v>55543</v>
      </c>
      <c r="K29" s="3">
        <f t="shared" si="29"/>
        <v>31032</v>
      </c>
      <c r="L29" s="3">
        <f t="shared" si="29"/>
        <v>12352</v>
      </c>
      <c r="M29" s="3">
        <f t="shared" si="29"/>
        <v>6397</v>
      </c>
      <c r="N29" s="3">
        <f t="shared" si="29"/>
        <v>11451</v>
      </c>
      <c r="O29" s="3">
        <f t="shared" si="29"/>
        <v>105147</v>
      </c>
      <c r="P29" s="3">
        <f t="shared" si="29"/>
        <v>72336</v>
      </c>
      <c r="Q29" s="3">
        <f t="shared" si="29"/>
        <v>12307</v>
      </c>
      <c r="R29" s="3">
        <f t="shared" si="29"/>
        <v>17597</v>
      </c>
      <c r="S29" s="3">
        <f t="shared" si="29"/>
        <v>2784</v>
      </c>
      <c r="T29" s="3">
        <f t="shared" si="29"/>
        <v>1985</v>
      </c>
      <c r="U29" s="3">
        <f t="shared" si="29"/>
        <v>86385</v>
      </c>
      <c r="V29" s="3">
        <f t="shared" si="29"/>
        <v>4359</v>
      </c>
      <c r="W29" s="3">
        <f t="shared" si="29"/>
        <v>5262</v>
      </c>
      <c r="X29" s="3">
        <f t="shared" si="29"/>
        <v>22748</v>
      </c>
      <c r="Y29" s="3">
        <f t="shared" si="29"/>
        <v>666281</v>
      </c>
      <c r="Z29" s="3">
        <f t="shared" si="29"/>
        <v>547527</v>
      </c>
      <c r="AA29" s="3"/>
      <c r="AB29" s="3">
        <f>AB15+AB17+AB19+AB21+AB23+AB25+AB27</f>
        <v>10221</v>
      </c>
      <c r="AC29" s="3"/>
      <c r="AD29" s="3">
        <f aca="true" t="shared" si="30" ref="AD29:BQ29">AD15+AD17+AD19+AD21+AD23+AD25+AD27</f>
        <v>3049</v>
      </c>
      <c r="AE29" s="3">
        <f t="shared" si="30"/>
        <v>2077</v>
      </c>
      <c r="AF29" s="3">
        <f t="shared" si="30"/>
        <v>1868</v>
      </c>
      <c r="AG29" s="3">
        <f t="shared" si="30"/>
        <v>4576</v>
      </c>
      <c r="AH29" s="3">
        <f t="shared" si="30"/>
        <v>835</v>
      </c>
      <c r="AI29" s="3">
        <f t="shared" si="30"/>
        <v>5746</v>
      </c>
      <c r="AJ29" s="3">
        <f t="shared" si="30"/>
        <v>2260</v>
      </c>
      <c r="AK29" s="3">
        <f t="shared" si="30"/>
        <v>3197</v>
      </c>
      <c r="AL29" s="3">
        <f t="shared" si="30"/>
        <v>5177</v>
      </c>
      <c r="AM29" s="3">
        <f t="shared" si="30"/>
        <v>3612</v>
      </c>
      <c r="AN29" s="3">
        <f t="shared" si="30"/>
        <v>2380</v>
      </c>
      <c r="AO29" s="3">
        <f t="shared" si="30"/>
        <v>4868</v>
      </c>
      <c r="AP29" s="3">
        <f t="shared" si="30"/>
        <v>3223</v>
      </c>
      <c r="AQ29" s="3">
        <f t="shared" si="30"/>
        <v>2244</v>
      </c>
      <c r="AR29" s="3">
        <f t="shared" si="30"/>
        <v>3052</v>
      </c>
      <c r="AS29" s="3">
        <f t="shared" si="30"/>
        <v>1295</v>
      </c>
      <c r="AT29" s="3">
        <f t="shared" si="30"/>
        <v>9606</v>
      </c>
      <c r="AU29" s="3">
        <f t="shared" si="30"/>
        <v>4700</v>
      </c>
      <c r="AV29" s="3">
        <f t="shared" si="30"/>
        <v>1719</v>
      </c>
      <c r="AW29" s="3">
        <f t="shared" si="30"/>
        <v>577</v>
      </c>
      <c r="AX29" s="3">
        <f t="shared" si="30"/>
        <v>692</v>
      </c>
      <c r="AY29" s="3">
        <f t="shared" si="30"/>
        <v>4862</v>
      </c>
      <c r="AZ29" s="3">
        <f t="shared" si="30"/>
        <v>572</v>
      </c>
      <c r="BA29" s="3">
        <f t="shared" si="30"/>
        <v>1554</v>
      </c>
      <c r="BB29" s="3">
        <f t="shared" si="30"/>
        <v>1429</v>
      </c>
      <c r="BC29" s="3">
        <f t="shared" si="30"/>
        <v>994</v>
      </c>
      <c r="BD29" s="3">
        <f t="shared" si="30"/>
        <v>1141</v>
      </c>
      <c r="BE29" s="3">
        <f t="shared" si="30"/>
        <v>365</v>
      </c>
      <c r="BF29" s="3">
        <f t="shared" si="30"/>
        <v>432</v>
      </c>
      <c r="BG29" s="3">
        <f t="shared" si="30"/>
        <v>2359</v>
      </c>
      <c r="BH29" s="3">
        <f t="shared" si="30"/>
        <v>1656</v>
      </c>
      <c r="BI29" s="3">
        <f t="shared" si="30"/>
        <v>831</v>
      </c>
      <c r="BJ29" s="3">
        <f t="shared" si="30"/>
        <v>287</v>
      </c>
      <c r="BK29" s="3">
        <f t="shared" si="30"/>
        <v>702</v>
      </c>
      <c r="BL29" s="3">
        <f t="shared" si="30"/>
        <v>680</v>
      </c>
      <c r="BM29" s="3">
        <f t="shared" si="30"/>
        <v>1168</v>
      </c>
      <c r="BN29" s="3">
        <f t="shared" si="30"/>
        <v>86385</v>
      </c>
      <c r="BO29" s="3">
        <f t="shared" si="30"/>
        <v>4297</v>
      </c>
      <c r="BP29" s="3">
        <f t="shared" si="30"/>
        <v>5324</v>
      </c>
      <c r="BQ29" s="3">
        <f t="shared" si="30"/>
        <v>96006</v>
      </c>
      <c r="BR29" s="3"/>
      <c r="BS29" s="3"/>
      <c r="BT29" s="3"/>
      <c r="BU29" s="4"/>
      <c r="BV29" s="3"/>
      <c r="BW29" s="3"/>
      <c r="BX29" s="3"/>
      <c r="BY29" s="3"/>
      <c r="BZ29" s="4"/>
      <c r="CA29" s="3"/>
      <c r="CB29" s="3"/>
      <c r="CC29" s="3"/>
      <c r="CD29" s="4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82" ht="15.75">
      <c r="A30" s="16"/>
      <c r="B30" s="9"/>
      <c r="C30" s="9"/>
      <c r="D30" s="9"/>
      <c r="E30" s="6">
        <f>E29/E28</f>
        <v>10.430850397645438</v>
      </c>
      <c r="F30" s="9"/>
      <c r="G30" s="6">
        <f aca="true" t="shared" si="31" ref="G30:Z30">G29/G28</f>
        <v>24.08310916041342</v>
      </c>
      <c r="H30" s="6">
        <f t="shared" si="31"/>
        <v>12.926881720430108</v>
      </c>
      <c r="I30" s="6">
        <f t="shared" si="31"/>
        <v>11.243432574430823</v>
      </c>
      <c r="J30" s="6">
        <f t="shared" si="31"/>
        <v>18.669915966386554</v>
      </c>
      <c r="K30" s="6">
        <f t="shared" si="31"/>
        <v>21.564975677553857</v>
      </c>
      <c r="L30" s="6">
        <f t="shared" si="31"/>
        <v>12.552845528455284</v>
      </c>
      <c r="M30" s="6">
        <f t="shared" si="31"/>
        <v>11.737614678899083</v>
      </c>
      <c r="N30" s="6">
        <f t="shared" si="31"/>
        <v>4.704601479046836</v>
      </c>
      <c r="O30" s="6">
        <f t="shared" si="31"/>
        <v>7.158700980392157</v>
      </c>
      <c r="P30" s="6">
        <f t="shared" si="31"/>
        <v>13.23865300146413</v>
      </c>
      <c r="Q30" s="6">
        <f t="shared" si="31"/>
        <v>9.488820354664611</v>
      </c>
      <c r="R30" s="6">
        <f t="shared" si="31"/>
        <v>5.411131611316113</v>
      </c>
      <c r="S30" s="6">
        <f t="shared" si="31"/>
        <v>6.519906323185012</v>
      </c>
      <c r="T30" s="6">
        <f t="shared" si="31"/>
        <v>4.841463414634147</v>
      </c>
      <c r="U30" s="6">
        <f t="shared" si="31"/>
        <v>6.211173425366695</v>
      </c>
      <c r="V30" s="6">
        <f t="shared" si="31"/>
        <v>3.572950819672131</v>
      </c>
      <c r="W30" s="6">
        <f t="shared" si="31"/>
        <v>8.994871794871795</v>
      </c>
      <c r="X30" s="6">
        <f t="shared" si="31"/>
        <v>6.772253646918726</v>
      </c>
      <c r="Y30" s="6">
        <f t="shared" si="31"/>
        <v>10.430850397645438</v>
      </c>
      <c r="Z30" s="6">
        <f t="shared" si="31"/>
        <v>12.220493705919115</v>
      </c>
      <c r="AB30" s="6">
        <f>AB29/AB28</f>
        <v>18.617486338797814</v>
      </c>
      <c r="AC30" s="6"/>
      <c r="AD30" s="6">
        <f aca="true" t="shared" si="32" ref="AD30:BQ30">AD29/AD28</f>
        <v>4.697996918335901</v>
      </c>
      <c r="AE30" s="6">
        <f t="shared" si="32"/>
        <v>4.428571428571429</v>
      </c>
      <c r="AF30" s="6">
        <f t="shared" si="32"/>
        <v>4.729113924050633</v>
      </c>
      <c r="AG30" s="6">
        <f t="shared" si="32"/>
        <v>7.416531604538087</v>
      </c>
      <c r="AH30" s="6">
        <f t="shared" si="32"/>
        <v>6.094890510948905</v>
      </c>
      <c r="AI30" s="6">
        <f t="shared" si="32"/>
        <v>21.125</v>
      </c>
      <c r="AJ30" s="6">
        <f t="shared" si="32"/>
        <v>5.113122171945701</v>
      </c>
      <c r="AK30" s="6">
        <f t="shared" si="32"/>
        <v>4.743323442136498</v>
      </c>
      <c r="AL30" s="6">
        <f t="shared" si="32"/>
        <v>5.3703319502074685</v>
      </c>
      <c r="AM30" s="6">
        <f t="shared" si="32"/>
        <v>6.142857142857143</v>
      </c>
      <c r="AN30" s="6">
        <f t="shared" si="32"/>
        <v>3.238095238095238</v>
      </c>
      <c r="AO30" s="6">
        <f t="shared" si="32"/>
        <v>5.251348435814455</v>
      </c>
      <c r="AP30" s="6">
        <f t="shared" si="32"/>
        <v>4.174870466321243</v>
      </c>
      <c r="AQ30" s="6">
        <f t="shared" si="32"/>
        <v>4.155555555555556</v>
      </c>
      <c r="AR30" s="6">
        <f t="shared" si="32"/>
        <v>4.203856749311295</v>
      </c>
      <c r="AS30" s="6">
        <f t="shared" si="32"/>
        <v>2.9770114942528734</v>
      </c>
      <c r="AT30" s="6">
        <f t="shared" si="32"/>
        <v>14.824074074074074</v>
      </c>
      <c r="AU30" s="6">
        <f t="shared" si="32"/>
        <v>10.981308411214954</v>
      </c>
      <c r="AV30" s="6">
        <f t="shared" si="32"/>
        <v>4.276119402985074</v>
      </c>
      <c r="AW30" s="6">
        <f t="shared" si="32"/>
        <v>5.77</v>
      </c>
      <c r="AX30" s="6">
        <f t="shared" si="32"/>
        <v>8.337349397590362</v>
      </c>
      <c r="AY30" s="6">
        <f t="shared" si="32"/>
        <v>8.872262773722628</v>
      </c>
      <c r="AZ30" s="6">
        <f t="shared" si="32"/>
        <v>2.288</v>
      </c>
      <c r="BA30" s="6">
        <f t="shared" si="32"/>
        <v>2.683937823834197</v>
      </c>
      <c r="BB30" s="6">
        <f t="shared" si="32"/>
        <v>1.9284750337381917</v>
      </c>
      <c r="BC30" s="6">
        <f t="shared" si="32"/>
        <v>4.176470588235294</v>
      </c>
      <c r="BD30" s="6">
        <f t="shared" si="32"/>
        <v>4.194852941176471</v>
      </c>
      <c r="BE30" s="6">
        <f t="shared" si="32"/>
        <v>2.0277777777777777</v>
      </c>
      <c r="BF30" s="6">
        <f t="shared" si="32"/>
        <v>5.2682926829268295</v>
      </c>
      <c r="BG30" s="6">
        <f t="shared" si="32"/>
        <v>3.4691176470588236</v>
      </c>
      <c r="BH30" s="6">
        <f t="shared" si="32"/>
        <v>8</v>
      </c>
      <c r="BI30" s="6">
        <f t="shared" si="32"/>
        <v>10.25925925925926</v>
      </c>
      <c r="BJ30" s="6">
        <f t="shared" si="32"/>
        <v>7.972222222222222</v>
      </c>
      <c r="BK30" s="6">
        <f t="shared" si="32"/>
        <v>9.116883116883116</v>
      </c>
      <c r="BL30" s="6">
        <f t="shared" si="32"/>
        <v>7.23404255319149</v>
      </c>
      <c r="BM30" s="6">
        <f t="shared" si="32"/>
        <v>12.166666666666666</v>
      </c>
      <c r="BN30" s="6">
        <f t="shared" si="32"/>
        <v>6.211173425366695</v>
      </c>
      <c r="BO30" s="6">
        <f t="shared" si="32"/>
        <v>3.539538714991763</v>
      </c>
      <c r="BP30" s="6">
        <f t="shared" si="32"/>
        <v>9.008460236886632</v>
      </c>
      <c r="BQ30" s="6">
        <f t="shared" si="32"/>
        <v>6.109972634124611</v>
      </c>
      <c r="BU30" s="8"/>
      <c r="BZ30" s="8"/>
      <c r="CD30" s="8"/>
    </row>
    <row r="31" spans="25:82" ht="15.75">
      <c r="Y31">
        <f>SUM(G31:X31)</f>
        <v>0</v>
      </c>
      <c r="BU31" s="8"/>
      <c r="BZ31" s="8"/>
      <c r="CD31" s="8"/>
    </row>
    <row r="32" spans="1:82" ht="15.75">
      <c r="A32" s="15" t="s">
        <v>98</v>
      </c>
      <c r="B32" t="s">
        <v>99</v>
      </c>
      <c r="C32" t="s">
        <v>100</v>
      </c>
      <c r="D32" t="s">
        <v>68</v>
      </c>
      <c r="E32">
        <v>12931</v>
      </c>
      <c r="G32">
        <v>1009</v>
      </c>
      <c r="H32">
        <v>423</v>
      </c>
      <c r="I32">
        <v>49</v>
      </c>
      <c r="J32">
        <v>801</v>
      </c>
      <c r="K32">
        <v>186</v>
      </c>
      <c r="L32">
        <v>220</v>
      </c>
      <c r="M32">
        <v>32</v>
      </c>
      <c r="N32">
        <v>194</v>
      </c>
      <c r="O32">
        <v>3689</v>
      </c>
      <c r="P32">
        <v>1298</v>
      </c>
      <c r="Q32">
        <v>231</v>
      </c>
      <c r="R32">
        <v>967</v>
      </c>
      <c r="S32">
        <v>151</v>
      </c>
      <c r="T32">
        <v>5</v>
      </c>
      <c r="U32">
        <v>2644</v>
      </c>
      <c r="V32">
        <v>317</v>
      </c>
      <c r="W32">
        <v>362</v>
      </c>
      <c r="X32">
        <v>353</v>
      </c>
      <c r="Y32">
        <f>SUM(G32:X32)</f>
        <v>12931</v>
      </c>
      <c r="Z32">
        <f aca="true" t="shared" si="33" ref="Z32:Z39">SUM(G32:T32)</f>
        <v>9255</v>
      </c>
      <c r="AB32">
        <v>2</v>
      </c>
      <c r="AC32">
        <v>10</v>
      </c>
      <c r="AD32">
        <f>16+1</f>
        <v>17</v>
      </c>
      <c r="AE32">
        <f>4+6</f>
        <v>10</v>
      </c>
      <c r="AG32">
        <f>11+5</f>
        <v>16</v>
      </c>
      <c r="AH32">
        <v>10</v>
      </c>
      <c r="AI32">
        <v>12</v>
      </c>
      <c r="AJ32">
        <v>1</v>
      </c>
      <c r="AK32">
        <f>1+3</f>
        <v>4</v>
      </c>
      <c r="AL32">
        <f>31+1</f>
        <v>32</v>
      </c>
      <c r="AM32">
        <f>28+3+2+1+5</f>
        <v>39</v>
      </c>
      <c r="AN32">
        <f>12+2</f>
        <v>14</v>
      </c>
      <c r="AO32">
        <f>1+1</f>
        <v>2</v>
      </c>
      <c r="AP32">
        <f>20+7+2</f>
        <v>29</v>
      </c>
      <c r="AQ32">
        <f>16+4+2</f>
        <v>22</v>
      </c>
      <c r="AR32">
        <f>7+5</f>
        <v>12</v>
      </c>
      <c r="AS32">
        <f>13+1</f>
        <v>14</v>
      </c>
      <c r="AT32">
        <f>1+1+1</f>
        <v>3</v>
      </c>
      <c r="AU32">
        <f>3+1</f>
        <v>4</v>
      </c>
      <c r="AV32">
        <v>1</v>
      </c>
      <c r="AY32">
        <f>1+3</f>
        <v>4</v>
      </c>
      <c r="AZ32">
        <v>5</v>
      </c>
      <c r="BA32">
        <v>10</v>
      </c>
      <c r="BB32">
        <v>8</v>
      </c>
      <c r="BC32">
        <v>4</v>
      </c>
      <c r="BD32">
        <v>9</v>
      </c>
      <c r="BE32">
        <v>1</v>
      </c>
      <c r="BF32">
        <v>1</v>
      </c>
      <c r="BG32">
        <f>2+1</f>
        <v>3</v>
      </c>
      <c r="BH32">
        <v>16</v>
      </c>
      <c r="BI32">
        <f>42+2</f>
        <v>44</v>
      </c>
      <c r="BJ32">
        <v>5</v>
      </c>
      <c r="BK32">
        <f>1+1</f>
        <v>2</v>
      </c>
      <c r="BL32">
        <v>1</v>
      </c>
      <c r="BM32">
        <f>6+1</f>
        <v>7</v>
      </c>
      <c r="BN32">
        <f aca="true" t="shared" si="34" ref="BN32:BN39">SUM(AA32:BC32)</f>
        <v>285</v>
      </c>
      <c r="BO32">
        <f aca="true" t="shared" si="35" ref="BO32:BO39">SUM(BD32:BG32)</f>
        <v>14</v>
      </c>
      <c r="BP32">
        <f aca="true" t="shared" si="36" ref="BP32:BP39">SUM(BH32:BM32)</f>
        <v>75</v>
      </c>
      <c r="BQ32">
        <f aca="true" t="shared" si="37" ref="BQ32:BQ39">SUM(BN32:BP32)</f>
        <v>374</v>
      </c>
      <c r="BR32">
        <f aca="true" t="shared" si="38" ref="BR32:BU33">BN32+BN34</f>
        <v>2644</v>
      </c>
      <c r="BS32">
        <f t="shared" si="38"/>
        <v>317</v>
      </c>
      <c r="BT32">
        <f t="shared" si="38"/>
        <v>362</v>
      </c>
      <c r="BU32">
        <f t="shared" si="38"/>
        <v>3323</v>
      </c>
      <c r="BW32" s="2">
        <f aca="true" t="shared" si="39" ref="BW32:CD32">BN33/BN32</f>
        <v>20.357894736842105</v>
      </c>
      <c r="BX32" s="2">
        <f t="shared" si="39"/>
        <v>19.142857142857142</v>
      </c>
      <c r="BY32" s="2">
        <f t="shared" si="39"/>
        <v>8.013333333333334</v>
      </c>
      <c r="BZ32" s="5">
        <f t="shared" si="39"/>
        <v>17.836898395721924</v>
      </c>
      <c r="CA32" s="2">
        <f t="shared" si="39"/>
        <v>6.11875945537065</v>
      </c>
      <c r="CB32" s="2">
        <f t="shared" si="39"/>
        <v>3.107255520504732</v>
      </c>
      <c r="CC32" s="2">
        <f t="shared" si="39"/>
        <v>5.292817679558011</v>
      </c>
      <c r="CD32" s="5">
        <f t="shared" si="39"/>
        <v>5.741498645801986</v>
      </c>
    </row>
    <row r="33" spans="4:82" ht="15.75">
      <c r="D33" t="s">
        <v>70</v>
      </c>
      <c r="E33">
        <v>124469</v>
      </c>
      <c r="G33">
        <v>31108</v>
      </c>
      <c r="H33">
        <v>3292</v>
      </c>
      <c r="I33">
        <v>697</v>
      </c>
      <c r="J33">
        <v>5841</v>
      </c>
      <c r="K33">
        <v>1171</v>
      </c>
      <c r="L33">
        <v>1757</v>
      </c>
      <c r="M33">
        <v>272</v>
      </c>
      <c r="N33">
        <v>1261</v>
      </c>
      <c r="O33">
        <v>38390</v>
      </c>
      <c r="P33">
        <v>11239</v>
      </c>
      <c r="Q33">
        <v>1984</v>
      </c>
      <c r="R33">
        <v>5285</v>
      </c>
      <c r="S33">
        <v>671</v>
      </c>
      <c r="T33">
        <v>53</v>
      </c>
      <c r="U33">
        <v>16178</v>
      </c>
      <c r="V33">
        <v>985</v>
      </c>
      <c r="W33">
        <v>1916</v>
      </c>
      <c r="Y33">
        <f>SUM(G33:X33)</f>
        <v>122100</v>
      </c>
      <c r="Z33">
        <f t="shared" si="33"/>
        <v>103021</v>
      </c>
      <c r="AB33">
        <v>5</v>
      </c>
      <c r="AC33">
        <v>848</v>
      </c>
      <c r="AD33">
        <f>618+20</f>
        <v>638</v>
      </c>
      <c r="AE33">
        <f>192+7</f>
        <v>199</v>
      </c>
      <c r="AG33">
        <f>195+29</f>
        <v>224</v>
      </c>
      <c r="AH33">
        <v>139</v>
      </c>
      <c r="AI33">
        <v>470</v>
      </c>
      <c r="AJ33">
        <v>5</v>
      </c>
      <c r="AK33">
        <f>34+3</f>
        <v>37</v>
      </c>
      <c r="AL33">
        <f>928+3</f>
        <v>931</v>
      </c>
      <c r="AM33">
        <f>463+31+50+42+16</f>
        <v>602</v>
      </c>
      <c r="AN33">
        <f>180+5</f>
        <v>185</v>
      </c>
      <c r="AO33">
        <f>14+28</f>
        <v>42</v>
      </c>
      <c r="AP33">
        <f>588+25+3</f>
        <v>616</v>
      </c>
      <c r="AQ33">
        <f>233+43+36</f>
        <v>312</v>
      </c>
      <c r="AR33">
        <f>83+37</f>
        <v>120</v>
      </c>
      <c r="AS33">
        <f>34+2</f>
        <v>36</v>
      </c>
      <c r="AT33">
        <f>4+10+21</f>
        <v>35</v>
      </c>
      <c r="AU33">
        <f>22+32</f>
        <v>54</v>
      </c>
      <c r="AV33">
        <v>5</v>
      </c>
      <c r="AY33">
        <f>2+42</f>
        <v>44</v>
      </c>
      <c r="AZ33">
        <v>67</v>
      </c>
      <c r="BA33">
        <v>60</v>
      </c>
      <c r="BB33">
        <v>53</v>
      </c>
      <c r="BC33">
        <v>75</v>
      </c>
      <c r="BD33">
        <v>171</v>
      </c>
      <c r="BE33">
        <v>28</v>
      </c>
      <c r="BF33">
        <v>19</v>
      </c>
      <c r="BG33">
        <f>29+21</f>
        <v>50</v>
      </c>
      <c r="BH33">
        <v>132</v>
      </c>
      <c r="BI33">
        <f>274+28</f>
        <v>302</v>
      </c>
      <c r="BJ33">
        <v>34</v>
      </c>
      <c r="BK33">
        <f>8+24</f>
        <v>32</v>
      </c>
      <c r="BL33">
        <v>11</v>
      </c>
      <c r="BM33">
        <f>84+6</f>
        <v>90</v>
      </c>
      <c r="BN33">
        <f t="shared" si="34"/>
        <v>5802</v>
      </c>
      <c r="BO33">
        <f t="shared" si="35"/>
        <v>268</v>
      </c>
      <c r="BP33">
        <f t="shared" si="36"/>
        <v>601</v>
      </c>
      <c r="BQ33">
        <f t="shared" si="37"/>
        <v>6671</v>
      </c>
      <c r="BR33">
        <f t="shared" si="38"/>
        <v>16178</v>
      </c>
      <c r="BS33">
        <f t="shared" si="38"/>
        <v>985</v>
      </c>
      <c r="BT33">
        <f t="shared" si="38"/>
        <v>1916</v>
      </c>
      <c r="BU33">
        <f t="shared" si="38"/>
        <v>19079</v>
      </c>
      <c r="BZ33" s="8"/>
      <c r="CD33" s="8"/>
    </row>
    <row r="34" spans="2:82" ht="15.75">
      <c r="B34" t="s">
        <v>101</v>
      </c>
      <c r="C34" t="s">
        <v>102</v>
      </c>
      <c r="D34" t="s">
        <v>68</v>
      </c>
      <c r="Z34">
        <f t="shared" si="33"/>
        <v>0</v>
      </c>
      <c r="AB34">
        <v>16</v>
      </c>
      <c r="AD34">
        <v>110</v>
      </c>
      <c r="AE34">
        <v>44</v>
      </c>
      <c r="AF34">
        <v>11</v>
      </c>
      <c r="AG34">
        <v>141</v>
      </c>
      <c r="AH34">
        <v>33</v>
      </c>
      <c r="AI34">
        <v>57</v>
      </c>
      <c r="AJ34">
        <v>129</v>
      </c>
      <c r="AK34">
        <v>44</v>
      </c>
      <c r="AL34">
        <v>170</v>
      </c>
      <c r="AM34">
        <v>247</v>
      </c>
      <c r="AN34">
        <v>218</v>
      </c>
      <c r="AO34">
        <v>214</v>
      </c>
      <c r="AP34">
        <v>135</v>
      </c>
      <c r="AQ34">
        <v>90</v>
      </c>
      <c r="AR34">
        <v>179</v>
      </c>
      <c r="AS34">
        <v>40</v>
      </c>
      <c r="AT34">
        <v>41</v>
      </c>
      <c r="AU34">
        <v>91</v>
      </c>
      <c r="AV34">
        <v>29</v>
      </c>
      <c r="AW34">
        <v>32</v>
      </c>
      <c r="AX34">
        <v>17</v>
      </c>
      <c r="AY34">
        <v>106</v>
      </c>
      <c r="AZ34">
        <v>31</v>
      </c>
      <c r="BA34">
        <v>20</v>
      </c>
      <c r="BB34">
        <v>81</v>
      </c>
      <c r="BC34">
        <v>33</v>
      </c>
      <c r="BD34">
        <v>70</v>
      </c>
      <c r="BE34">
        <v>39</v>
      </c>
      <c r="BG34">
        <v>194</v>
      </c>
      <c r="BI34">
        <v>17</v>
      </c>
      <c r="BJ34">
        <v>18</v>
      </c>
      <c r="BK34">
        <v>38</v>
      </c>
      <c r="BL34">
        <v>189</v>
      </c>
      <c r="BM34">
        <v>25</v>
      </c>
      <c r="BN34">
        <f t="shared" si="34"/>
        <v>2359</v>
      </c>
      <c r="BO34">
        <f t="shared" si="35"/>
        <v>303</v>
      </c>
      <c r="BP34">
        <f t="shared" si="36"/>
        <v>287</v>
      </c>
      <c r="BQ34">
        <f t="shared" si="37"/>
        <v>2949</v>
      </c>
      <c r="BU34" s="8"/>
      <c r="BW34" s="2">
        <f>BN35/BN34</f>
        <v>4.3984739296312</v>
      </c>
      <c r="BX34" s="2">
        <f>BO35/BO34</f>
        <v>2.366336633663366</v>
      </c>
      <c r="BY34" s="2">
        <f>BP35/BP34</f>
        <v>4.581881533101045</v>
      </c>
      <c r="BZ34" s="5">
        <f>BQ35/BQ34</f>
        <v>4.207527975584944</v>
      </c>
      <c r="CA34" s="2"/>
      <c r="CB34" s="2"/>
      <c r="CC34" s="2"/>
      <c r="CD34" s="5"/>
    </row>
    <row r="35" spans="4:82" ht="15.75">
      <c r="D35" t="s">
        <v>70</v>
      </c>
      <c r="Z35">
        <f t="shared" si="33"/>
        <v>0</v>
      </c>
      <c r="AB35">
        <v>495</v>
      </c>
      <c r="AD35">
        <v>462</v>
      </c>
      <c r="AE35">
        <v>124</v>
      </c>
      <c r="AF35">
        <v>47</v>
      </c>
      <c r="AG35">
        <v>958</v>
      </c>
      <c r="AH35">
        <v>127</v>
      </c>
      <c r="AI35">
        <v>1377</v>
      </c>
      <c r="AJ35">
        <v>459</v>
      </c>
      <c r="AK35">
        <v>171</v>
      </c>
      <c r="AL35">
        <v>801</v>
      </c>
      <c r="AM35">
        <v>844</v>
      </c>
      <c r="AN35">
        <v>420</v>
      </c>
      <c r="AO35">
        <v>918</v>
      </c>
      <c r="AP35">
        <v>561</v>
      </c>
      <c r="AQ35">
        <v>385</v>
      </c>
      <c r="AR35">
        <v>133</v>
      </c>
      <c r="AS35">
        <v>507</v>
      </c>
      <c r="AT35">
        <v>119</v>
      </c>
      <c r="AU35">
        <v>242</v>
      </c>
      <c r="AV35">
        <v>162</v>
      </c>
      <c r="AW35">
        <v>264</v>
      </c>
      <c r="AX35">
        <v>20</v>
      </c>
      <c r="AY35">
        <v>429</v>
      </c>
      <c r="AZ35">
        <v>56</v>
      </c>
      <c r="BA35">
        <v>64</v>
      </c>
      <c r="BB35">
        <v>144</v>
      </c>
      <c r="BC35">
        <v>87</v>
      </c>
      <c r="BD35">
        <v>121</v>
      </c>
      <c r="BE35">
        <v>47</v>
      </c>
      <c r="BG35">
        <v>549</v>
      </c>
      <c r="BI35">
        <v>90</v>
      </c>
      <c r="BJ35">
        <v>104</v>
      </c>
      <c r="BK35">
        <v>242</v>
      </c>
      <c r="BL35">
        <v>707</v>
      </c>
      <c r="BM35">
        <v>172</v>
      </c>
      <c r="BN35">
        <f t="shared" si="34"/>
        <v>10376</v>
      </c>
      <c r="BO35">
        <f t="shared" si="35"/>
        <v>717</v>
      </c>
      <c r="BP35">
        <f t="shared" si="36"/>
        <v>1315</v>
      </c>
      <c r="BQ35">
        <f t="shared" si="37"/>
        <v>12408</v>
      </c>
      <c r="BU35" s="8"/>
      <c r="BZ35" s="8"/>
      <c r="CD35" s="8"/>
    </row>
    <row r="36" spans="1:82" ht="15.75">
      <c r="A36" s="15" t="s">
        <v>103</v>
      </c>
      <c r="B36" t="s">
        <v>104</v>
      </c>
      <c r="C36" t="s">
        <v>105</v>
      </c>
      <c r="D36" t="s">
        <v>68</v>
      </c>
      <c r="E36">
        <v>885</v>
      </c>
      <c r="G36">
        <v>86</v>
      </c>
      <c r="H36">
        <v>2</v>
      </c>
      <c r="I36">
        <v>2</v>
      </c>
      <c r="J36">
        <v>15</v>
      </c>
      <c r="K36">
        <v>2</v>
      </c>
      <c r="L36">
        <v>2</v>
      </c>
      <c r="N36">
        <v>5</v>
      </c>
      <c r="O36">
        <v>603</v>
      </c>
      <c r="P36">
        <v>17</v>
      </c>
      <c r="Q36">
        <v>3</v>
      </c>
      <c r="R36">
        <v>19</v>
      </c>
      <c r="S36">
        <v>4</v>
      </c>
      <c r="U36">
        <v>37</v>
      </c>
      <c r="V36">
        <v>49</v>
      </c>
      <c r="W36">
        <v>5</v>
      </c>
      <c r="X36">
        <v>34</v>
      </c>
      <c r="Y36">
        <f>SUM(G36:X36)</f>
        <v>885</v>
      </c>
      <c r="Z36">
        <f t="shared" si="33"/>
        <v>760</v>
      </c>
      <c r="AA36" s="2"/>
      <c r="AB36" s="10">
        <f>3+3</f>
        <v>6</v>
      </c>
      <c r="AC36" s="11"/>
      <c r="AD36" s="10"/>
      <c r="AE36" s="10">
        <v>3</v>
      </c>
      <c r="AF36" s="10"/>
      <c r="AG36" s="11"/>
      <c r="AH36">
        <v>10</v>
      </c>
      <c r="AJ36">
        <v>1</v>
      </c>
      <c r="AL36">
        <v>1</v>
      </c>
      <c r="AN36">
        <v>2</v>
      </c>
      <c r="AO36">
        <v>1</v>
      </c>
      <c r="AQ36">
        <v>5</v>
      </c>
      <c r="AR36">
        <v>5</v>
      </c>
      <c r="AS36">
        <v>2</v>
      </c>
      <c r="AZ36">
        <v>1</v>
      </c>
      <c r="BC36">
        <v>2</v>
      </c>
      <c r="BD36">
        <v>1</v>
      </c>
      <c r="BG36">
        <f>3+30+15</f>
        <v>48</v>
      </c>
      <c r="BI36">
        <v>3</v>
      </c>
      <c r="BK36">
        <v>1</v>
      </c>
      <c r="BL36">
        <v>1</v>
      </c>
      <c r="BN36">
        <f t="shared" si="34"/>
        <v>39</v>
      </c>
      <c r="BO36">
        <f t="shared" si="35"/>
        <v>49</v>
      </c>
      <c r="BP36">
        <f t="shared" si="36"/>
        <v>5</v>
      </c>
      <c r="BQ36">
        <f t="shared" si="37"/>
        <v>93</v>
      </c>
      <c r="BU36" s="8"/>
      <c r="BW36" s="2">
        <f>BN37/BN36</f>
        <v>46.35897435897436</v>
      </c>
      <c r="BX36" s="2">
        <f>BO37/BO36</f>
        <v>8.653061224489797</v>
      </c>
      <c r="BY36" s="2">
        <f>BP37/BP36</f>
        <v>43.6</v>
      </c>
      <c r="BZ36" s="5">
        <f>BQ37/BQ36</f>
        <v>26.344086021505376</v>
      </c>
      <c r="CA36" s="2"/>
      <c r="CB36" s="2"/>
      <c r="CC36" s="2"/>
      <c r="CD36" s="5"/>
    </row>
    <row r="37" spans="4:82" ht="15.75">
      <c r="D37" t="s">
        <v>70</v>
      </c>
      <c r="E37">
        <v>37175</v>
      </c>
      <c r="G37">
        <v>3471</v>
      </c>
      <c r="H37">
        <v>311</v>
      </c>
      <c r="I37">
        <v>157</v>
      </c>
      <c r="J37">
        <v>2183</v>
      </c>
      <c r="K37">
        <v>140</v>
      </c>
      <c r="L37">
        <v>419</v>
      </c>
      <c r="N37">
        <v>381</v>
      </c>
      <c r="O37">
        <v>17897</v>
      </c>
      <c r="P37">
        <v>3139</v>
      </c>
      <c r="Q37">
        <v>126</v>
      </c>
      <c r="R37">
        <v>534</v>
      </c>
      <c r="S37">
        <v>314</v>
      </c>
      <c r="U37">
        <v>1802</v>
      </c>
      <c r="V37">
        <v>424</v>
      </c>
      <c r="W37">
        <v>218</v>
      </c>
      <c r="X37">
        <v>5659</v>
      </c>
      <c r="Y37">
        <f>SUM(G37:X37)</f>
        <v>37175</v>
      </c>
      <c r="Z37">
        <f t="shared" si="33"/>
        <v>29072</v>
      </c>
      <c r="AA37" s="2"/>
      <c r="AB37" s="10">
        <f>283+18</f>
        <v>301</v>
      </c>
      <c r="AC37" s="11"/>
      <c r="AD37" s="10"/>
      <c r="AE37" s="10">
        <v>284</v>
      </c>
      <c r="AF37" s="10"/>
      <c r="AG37" s="11"/>
      <c r="AH37">
        <v>17</v>
      </c>
      <c r="AJ37">
        <v>105</v>
      </c>
      <c r="AL37">
        <v>3</v>
      </c>
      <c r="AN37">
        <v>132</v>
      </c>
      <c r="AO37">
        <v>3</v>
      </c>
      <c r="AQ37">
        <v>147</v>
      </c>
      <c r="AR37">
        <v>526</v>
      </c>
      <c r="AS37">
        <v>235</v>
      </c>
      <c r="AZ37">
        <v>49</v>
      </c>
      <c r="BC37">
        <v>6</v>
      </c>
      <c r="BD37">
        <v>107</v>
      </c>
      <c r="BG37">
        <f>254+41+22</f>
        <v>317</v>
      </c>
      <c r="BI37">
        <v>89</v>
      </c>
      <c r="BK37">
        <v>56</v>
      </c>
      <c r="BL37">
        <v>73</v>
      </c>
      <c r="BN37">
        <f t="shared" si="34"/>
        <v>1808</v>
      </c>
      <c r="BO37">
        <f t="shared" si="35"/>
        <v>424</v>
      </c>
      <c r="BP37">
        <f t="shared" si="36"/>
        <v>218</v>
      </c>
      <c r="BQ37">
        <f t="shared" si="37"/>
        <v>2450</v>
      </c>
      <c r="BU37" s="8"/>
      <c r="BZ37" s="8"/>
      <c r="CD37" s="8"/>
    </row>
    <row r="38" spans="1:82" ht="15.75">
      <c r="A38" s="15" t="s">
        <v>106</v>
      </c>
      <c r="B38" t="s">
        <v>107</v>
      </c>
      <c r="C38" t="s">
        <v>108</v>
      </c>
      <c r="D38" t="s">
        <v>68</v>
      </c>
      <c r="E38">
        <v>4366</v>
      </c>
      <c r="G38">
        <v>569</v>
      </c>
      <c r="H38">
        <v>315</v>
      </c>
      <c r="I38">
        <v>121</v>
      </c>
      <c r="J38">
        <v>108</v>
      </c>
      <c r="K38">
        <v>12</v>
      </c>
      <c r="L38">
        <v>92</v>
      </c>
      <c r="M38">
        <v>45</v>
      </c>
      <c r="N38">
        <v>110</v>
      </c>
      <c r="O38">
        <v>1131</v>
      </c>
      <c r="P38">
        <v>361</v>
      </c>
      <c r="Q38">
        <v>169</v>
      </c>
      <c r="R38">
        <v>81</v>
      </c>
      <c r="S38">
        <v>37</v>
      </c>
      <c r="T38">
        <v>19</v>
      </c>
      <c r="U38">
        <v>358</v>
      </c>
      <c r="V38">
        <v>26</v>
      </c>
      <c r="W38">
        <v>324</v>
      </c>
      <c r="X38">
        <v>488</v>
      </c>
      <c r="Y38">
        <f>SUM(G38:X38)</f>
        <v>4366</v>
      </c>
      <c r="Z38">
        <f t="shared" si="33"/>
        <v>3170</v>
      </c>
      <c r="AA38" s="2"/>
      <c r="AB38" s="10">
        <f>2+74+2</f>
        <v>78</v>
      </c>
      <c r="AC38" s="11"/>
      <c r="AD38" s="10">
        <f>46+3</f>
        <v>49</v>
      </c>
      <c r="AE38" s="10">
        <f>7+1</f>
        <v>8</v>
      </c>
      <c r="AF38" s="10"/>
      <c r="AG38" s="10">
        <v>2</v>
      </c>
      <c r="AH38">
        <v>4</v>
      </c>
      <c r="AJ38">
        <v>1</v>
      </c>
      <c r="AK38">
        <f>2+1</f>
        <v>3</v>
      </c>
      <c r="AL38">
        <f>19+3</f>
        <v>22</v>
      </c>
      <c r="AM38">
        <f>2+20+28</f>
        <v>50</v>
      </c>
      <c r="AN38">
        <f>2+6</f>
        <v>8</v>
      </c>
      <c r="AO38">
        <f>9+14</f>
        <v>23</v>
      </c>
      <c r="AP38">
        <v>7</v>
      </c>
      <c r="AQ38">
        <f>6+12</f>
        <v>18</v>
      </c>
      <c r="AR38">
        <f>7+5</f>
        <v>12</v>
      </c>
      <c r="AS38">
        <f>2+2</f>
        <v>4</v>
      </c>
      <c r="AT38">
        <f>1+17</f>
        <v>18</v>
      </c>
      <c r="AU38">
        <v>3</v>
      </c>
      <c r="AV38">
        <f>1+4</f>
        <v>5</v>
      </c>
      <c r="AW38">
        <f>5+1</f>
        <v>6</v>
      </c>
      <c r="AY38">
        <f>1+2+4</f>
        <v>7</v>
      </c>
      <c r="AZ38">
        <v>7</v>
      </c>
      <c r="BA38">
        <v>7</v>
      </c>
      <c r="BB38">
        <v>14</v>
      </c>
      <c r="BC38">
        <f>1+1</f>
        <v>2</v>
      </c>
      <c r="BD38">
        <v>8</v>
      </c>
      <c r="BE38">
        <v>8</v>
      </c>
      <c r="BF38">
        <f>4+1</f>
        <v>5</v>
      </c>
      <c r="BG38">
        <f>1+4</f>
        <v>5</v>
      </c>
      <c r="BH38">
        <v>3</v>
      </c>
      <c r="BI38">
        <f>1+2</f>
        <v>3</v>
      </c>
      <c r="BK38">
        <v>12</v>
      </c>
      <c r="BL38">
        <v>6</v>
      </c>
      <c r="BM38">
        <v>300</v>
      </c>
      <c r="BN38">
        <f t="shared" si="34"/>
        <v>358</v>
      </c>
      <c r="BO38">
        <f t="shared" si="35"/>
        <v>26</v>
      </c>
      <c r="BP38">
        <f t="shared" si="36"/>
        <v>324</v>
      </c>
      <c r="BQ38">
        <f t="shared" si="37"/>
        <v>708</v>
      </c>
      <c r="BU38" s="8"/>
      <c r="BW38" s="2">
        <f>BN39/BN38</f>
        <v>12.145251396648044</v>
      </c>
      <c r="BX38" s="2">
        <f>BO39/BO38</f>
        <v>6.076923076923077</v>
      </c>
      <c r="BY38" s="2">
        <f>BP39/BP38</f>
        <v>1.7376543209876543</v>
      </c>
      <c r="BZ38" s="5">
        <f>BQ39/BQ38</f>
        <v>7.159604519774011</v>
      </c>
      <c r="CA38" s="2"/>
      <c r="CB38" s="2"/>
      <c r="CC38" s="2"/>
      <c r="CD38" s="5"/>
    </row>
    <row r="39" spans="4:82" ht="15.75">
      <c r="D39" t="s">
        <v>70</v>
      </c>
      <c r="E39">
        <v>44578</v>
      </c>
      <c r="G39">
        <v>11734</v>
      </c>
      <c r="H39">
        <v>3133</v>
      </c>
      <c r="I39">
        <v>811</v>
      </c>
      <c r="J39">
        <v>1278</v>
      </c>
      <c r="K39">
        <v>261</v>
      </c>
      <c r="L39">
        <v>488</v>
      </c>
      <c r="M39">
        <v>1159</v>
      </c>
      <c r="N39">
        <v>947</v>
      </c>
      <c r="O39">
        <v>8718</v>
      </c>
      <c r="P39">
        <v>4229</v>
      </c>
      <c r="Q39">
        <v>2051</v>
      </c>
      <c r="R39">
        <v>882</v>
      </c>
      <c r="S39">
        <v>431</v>
      </c>
      <c r="T39">
        <v>90</v>
      </c>
      <c r="U39">
        <v>4348</v>
      </c>
      <c r="V39">
        <v>158</v>
      </c>
      <c r="W39">
        <v>563</v>
      </c>
      <c r="X39">
        <v>3297</v>
      </c>
      <c r="Y39">
        <f>SUM(G39:X39)</f>
        <v>44578</v>
      </c>
      <c r="Z39">
        <f t="shared" si="33"/>
        <v>36212</v>
      </c>
      <c r="AA39" s="2"/>
      <c r="AB39" s="10">
        <f>35+705+107</f>
        <v>847</v>
      </c>
      <c r="AC39" s="11"/>
      <c r="AD39" s="10">
        <f>429+44</f>
        <v>473</v>
      </c>
      <c r="AE39" s="10">
        <f>50+57</f>
        <v>107</v>
      </c>
      <c r="AF39" s="10"/>
      <c r="AG39" s="10">
        <v>21</v>
      </c>
      <c r="AH39">
        <v>22</v>
      </c>
      <c r="AJ39">
        <v>14</v>
      </c>
      <c r="AK39">
        <f>45+4</f>
        <v>49</v>
      </c>
      <c r="AL39">
        <f>801+50</f>
        <v>851</v>
      </c>
      <c r="AM39">
        <f>28+366+87</f>
        <v>481</v>
      </c>
      <c r="AN39">
        <f>51+13</f>
        <v>64</v>
      </c>
      <c r="AO39">
        <f>193+267</f>
        <v>460</v>
      </c>
      <c r="AP39">
        <v>143</v>
      </c>
      <c r="AQ39">
        <f>12+48</f>
        <v>60</v>
      </c>
      <c r="AR39">
        <f>43+122</f>
        <v>165</v>
      </c>
      <c r="AS39">
        <f>4+8</f>
        <v>12</v>
      </c>
      <c r="AT39">
        <f>60+59</f>
        <v>119</v>
      </c>
      <c r="AU39">
        <v>30</v>
      </c>
      <c r="AV39">
        <f>2+19</f>
        <v>21</v>
      </c>
      <c r="AW39">
        <f>12+21</f>
        <v>33</v>
      </c>
      <c r="AY39">
        <f>35+7+56</f>
        <v>98</v>
      </c>
      <c r="AZ39">
        <v>91</v>
      </c>
      <c r="BA39">
        <v>25</v>
      </c>
      <c r="BB39">
        <v>127</v>
      </c>
      <c r="BC39">
        <f>18+17</f>
        <v>35</v>
      </c>
      <c r="BD39">
        <v>72</v>
      </c>
      <c r="BE39">
        <v>20</v>
      </c>
      <c r="BF39">
        <f>22+4</f>
        <v>26</v>
      </c>
      <c r="BG39">
        <f>6+34</f>
        <v>40</v>
      </c>
      <c r="BH39">
        <v>24</v>
      </c>
      <c r="BI39">
        <f>5+14</f>
        <v>19</v>
      </c>
      <c r="BK39">
        <v>10</v>
      </c>
      <c r="BL39">
        <v>38</v>
      </c>
      <c r="BM39">
        <v>472</v>
      </c>
      <c r="BN39">
        <f t="shared" si="34"/>
        <v>4348</v>
      </c>
      <c r="BO39">
        <f t="shared" si="35"/>
        <v>158</v>
      </c>
      <c r="BP39">
        <f t="shared" si="36"/>
        <v>563</v>
      </c>
      <c r="BQ39">
        <f t="shared" si="37"/>
        <v>5069</v>
      </c>
      <c r="BU39" s="8"/>
      <c r="BZ39" s="8"/>
      <c r="CD39" s="8"/>
    </row>
    <row r="40" spans="1:256" ht="15.75">
      <c r="A40" s="14"/>
      <c r="B40" s="3" t="s">
        <v>109</v>
      </c>
      <c r="C40" s="3"/>
      <c r="D40" s="3" t="s">
        <v>68</v>
      </c>
      <c r="E40" s="3">
        <f>E32+E36+E38</f>
        <v>18182</v>
      </c>
      <c r="F40" s="3"/>
      <c r="G40" s="3">
        <f aca="true" t="shared" si="40" ref="G40:Z40">G32+G36+G38</f>
        <v>1664</v>
      </c>
      <c r="H40" s="3">
        <f t="shared" si="40"/>
        <v>740</v>
      </c>
      <c r="I40" s="3">
        <f t="shared" si="40"/>
        <v>172</v>
      </c>
      <c r="J40" s="3">
        <f t="shared" si="40"/>
        <v>924</v>
      </c>
      <c r="K40" s="3">
        <f t="shared" si="40"/>
        <v>200</v>
      </c>
      <c r="L40" s="3">
        <f t="shared" si="40"/>
        <v>314</v>
      </c>
      <c r="M40" s="3">
        <f t="shared" si="40"/>
        <v>77</v>
      </c>
      <c r="N40" s="3">
        <f t="shared" si="40"/>
        <v>309</v>
      </c>
      <c r="O40" s="3">
        <f t="shared" si="40"/>
        <v>5423</v>
      </c>
      <c r="P40" s="3">
        <f t="shared" si="40"/>
        <v>1676</v>
      </c>
      <c r="Q40" s="3">
        <f t="shared" si="40"/>
        <v>403</v>
      </c>
      <c r="R40" s="3">
        <f t="shared" si="40"/>
        <v>1067</v>
      </c>
      <c r="S40" s="3">
        <f t="shared" si="40"/>
        <v>192</v>
      </c>
      <c r="T40" s="3">
        <f t="shared" si="40"/>
        <v>24</v>
      </c>
      <c r="U40" s="3">
        <f t="shared" si="40"/>
        <v>3039</v>
      </c>
      <c r="V40" s="3">
        <f t="shared" si="40"/>
        <v>392</v>
      </c>
      <c r="W40" s="3">
        <f t="shared" si="40"/>
        <v>691</v>
      </c>
      <c r="X40" s="3">
        <f t="shared" si="40"/>
        <v>875</v>
      </c>
      <c r="Y40" s="3">
        <f t="shared" si="40"/>
        <v>18182</v>
      </c>
      <c r="Z40" s="3">
        <f t="shared" si="40"/>
        <v>13185</v>
      </c>
      <c r="AA40" s="6"/>
      <c r="AB40" s="12">
        <f aca="true" t="shared" si="41" ref="AB40:BQ40">AB32+AB34+AB36+AB38</f>
        <v>102</v>
      </c>
      <c r="AC40" s="12">
        <f t="shared" si="41"/>
        <v>10</v>
      </c>
      <c r="AD40" s="12">
        <f t="shared" si="41"/>
        <v>176</v>
      </c>
      <c r="AE40" s="12">
        <f t="shared" si="41"/>
        <v>65</v>
      </c>
      <c r="AF40" s="12">
        <f t="shared" si="41"/>
        <v>11</v>
      </c>
      <c r="AG40" s="12">
        <f t="shared" si="41"/>
        <v>159</v>
      </c>
      <c r="AH40" s="12">
        <f t="shared" si="41"/>
        <v>57</v>
      </c>
      <c r="AI40" s="12">
        <f t="shared" si="41"/>
        <v>69</v>
      </c>
      <c r="AJ40" s="12">
        <f t="shared" si="41"/>
        <v>132</v>
      </c>
      <c r="AK40" s="12">
        <f t="shared" si="41"/>
        <v>51</v>
      </c>
      <c r="AL40" s="12">
        <f t="shared" si="41"/>
        <v>225</v>
      </c>
      <c r="AM40" s="12">
        <f t="shared" si="41"/>
        <v>336</v>
      </c>
      <c r="AN40" s="12">
        <f t="shared" si="41"/>
        <v>242</v>
      </c>
      <c r="AO40" s="12">
        <f t="shared" si="41"/>
        <v>240</v>
      </c>
      <c r="AP40" s="12">
        <f t="shared" si="41"/>
        <v>171</v>
      </c>
      <c r="AQ40" s="12">
        <f t="shared" si="41"/>
        <v>135</v>
      </c>
      <c r="AR40" s="12">
        <f t="shared" si="41"/>
        <v>208</v>
      </c>
      <c r="AS40" s="12">
        <f t="shared" si="41"/>
        <v>60</v>
      </c>
      <c r="AT40" s="12">
        <f t="shared" si="41"/>
        <v>62</v>
      </c>
      <c r="AU40" s="12">
        <f t="shared" si="41"/>
        <v>98</v>
      </c>
      <c r="AV40" s="12">
        <f t="shared" si="41"/>
        <v>35</v>
      </c>
      <c r="AW40" s="12">
        <f t="shared" si="41"/>
        <v>38</v>
      </c>
      <c r="AX40" s="12">
        <f t="shared" si="41"/>
        <v>17</v>
      </c>
      <c r="AY40" s="12">
        <f t="shared" si="41"/>
        <v>117</v>
      </c>
      <c r="AZ40" s="12">
        <f t="shared" si="41"/>
        <v>44</v>
      </c>
      <c r="BA40" s="12">
        <f t="shared" si="41"/>
        <v>37</v>
      </c>
      <c r="BB40" s="12">
        <f t="shared" si="41"/>
        <v>103</v>
      </c>
      <c r="BC40" s="12">
        <f t="shared" si="41"/>
        <v>41</v>
      </c>
      <c r="BD40" s="12">
        <f t="shared" si="41"/>
        <v>88</v>
      </c>
      <c r="BE40" s="12">
        <f t="shared" si="41"/>
        <v>48</v>
      </c>
      <c r="BF40" s="12">
        <f t="shared" si="41"/>
        <v>6</v>
      </c>
      <c r="BG40" s="12">
        <f t="shared" si="41"/>
        <v>250</v>
      </c>
      <c r="BH40" s="12">
        <f t="shared" si="41"/>
        <v>19</v>
      </c>
      <c r="BI40" s="12">
        <f t="shared" si="41"/>
        <v>67</v>
      </c>
      <c r="BJ40" s="12">
        <f t="shared" si="41"/>
        <v>23</v>
      </c>
      <c r="BK40" s="12">
        <f t="shared" si="41"/>
        <v>53</v>
      </c>
      <c r="BL40" s="12">
        <f t="shared" si="41"/>
        <v>197</v>
      </c>
      <c r="BM40" s="12">
        <f t="shared" si="41"/>
        <v>332</v>
      </c>
      <c r="BN40" s="12">
        <f t="shared" si="41"/>
        <v>3041</v>
      </c>
      <c r="BO40" s="12">
        <f t="shared" si="41"/>
        <v>392</v>
      </c>
      <c r="BP40" s="12">
        <f t="shared" si="41"/>
        <v>691</v>
      </c>
      <c r="BQ40" s="12">
        <f t="shared" si="41"/>
        <v>4124</v>
      </c>
      <c r="BR40" s="3"/>
      <c r="BS40" s="3"/>
      <c r="BT40" s="3"/>
      <c r="BU40" s="4"/>
      <c r="BV40" s="3"/>
      <c r="BW40" s="3"/>
      <c r="BX40" s="3"/>
      <c r="BY40" s="3"/>
      <c r="BZ40" s="4"/>
      <c r="CA40" s="3"/>
      <c r="CB40" s="3"/>
      <c r="CC40" s="3"/>
      <c r="CD40" s="4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>
      <c r="A41" s="14"/>
      <c r="B41" s="3"/>
      <c r="C41" s="3"/>
      <c r="D41" s="3" t="s">
        <v>70</v>
      </c>
      <c r="E41" s="3">
        <f>E33+E37+E39</f>
        <v>206222</v>
      </c>
      <c r="F41" s="3"/>
      <c r="G41" s="3">
        <f aca="true" t="shared" si="42" ref="G41:Z41">G33+G37+G39</f>
        <v>46313</v>
      </c>
      <c r="H41" s="3">
        <f t="shared" si="42"/>
        <v>6736</v>
      </c>
      <c r="I41" s="3">
        <f t="shared" si="42"/>
        <v>1665</v>
      </c>
      <c r="J41" s="3">
        <f t="shared" si="42"/>
        <v>9302</v>
      </c>
      <c r="K41" s="3">
        <f t="shared" si="42"/>
        <v>1572</v>
      </c>
      <c r="L41" s="3">
        <f t="shared" si="42"/>
        <v>2664</v>
      </c>
      <c r="M41" s="3">
        <f t="shared" si="42"/>
        <v>1431</v>
      </c>
      <c r="N41" s="3">
        <f t="shared" si="42"/>
        <v>2589</v>
      </c>
      <c r="O41" s="3">
        <f t="shared" si="42"/>
        <v>65005</v>
      </c>
      <c r="P41" s="3">
        <f t="shared" si="42"/>
        <v>18607</v>
      </c>
      <c r="Q41" s="3">
        <f t="shared" si="42"/>
        <v>4161</v>
      </c>
      <c r="R41" s="3">
        <f t="shared" si="42"/>
        <v>6701</v>
      </c>
      <c r="S41" s="3">
        <f t="shared" si="42"/>
        <v>1416</v>
      </c>
      <c r="T41" s="3">
        <f t="shared" si="42"/>
        <v>143</v>
      </c>
      <c r="U41" s="3">
        <f t="shared" si="42"/>
        <v>22328</v>
      </c>
      <c r="V41" s="3">
        <f t="shared" si="42"/>
        <v>1567</v>
      </c>
      <c r="W41" s="3">
        <f t="shared" si="42"/>
        <v>2697</v>
      </c>
      <c r="X41" s="3">
        <f t="shared" si="42"/>
        <v>8956</v>
      </c>
      <c r="Y41" s="3">
        <f t="shared" si="42"/>
        <v>203853</v>
      </c>
      <c r="Z41" s="3">
        <f t="shared" si="42"/>
        <v>168305</v>
      </c>
      <c r="AA41" s="6"/>
      <c r="AB41" s="12">
        <f aca="true" t="shared" si="43" ref="AB41:BQ41">AB33+AB35+AB37+AB39</f>
        <v>1648</v>
      </c>
      <c r="AC41" s="12">
        <f t="shared" si="43"/>
        <v>848</v>
      </c>
      <c r="AD41" s="12">
        <f t="shared" si="43"/>
        <v>1573</v>
      </c>
      <c r="AE41" s="12">
        <f t="shared" si="43"/>
        <v>714</v>
      </c>
      <c r="AF41" s="12">
        <f t="shared" si="43"/>
        <v>47</v>
      </c>
      <c r="AG41" s="12">
        <f t="shared" si="43"/>
        <v>1203</v>
      </c>
      <c r="AH41" s="12">
        <f t="shared" si="43"/>
        <v>305</v>
      </c>
      <c r="AI41" s="12">
        <f t="shared" si="43"/>
        <v>1847</v>
      </c>
      <c r="AJ41" s="12">
        <f t="shared" si="43"/>
        <v>583</v>
      </c>
      <c r="AK41" s="12">
        <f t="shared" si="43"/>
        <v>257</v>
      </c>
      <c r="AL41" s="12">
        <f t="shared" si="43"/>
        <v>2586</v>
      </c>
      <c r="AM41" s="12">
        <f t="shared" si="43"/>
        <v>1927</v>
      </c>
      <c r="AN41" s="12">
        <f t="shared" si="43"/>
        <v>801</v>
      </c>
      <c r="AO41" s="12">
        <f t="shared" si="43"/>
        <v>1423</v>
      </c>
      <c r="AP41" s="12">
        <f t="shared" si="43"/>
        <v>1320</v>
      </c>
      <c r="AQ41" s="12">
        <f t="shared" si="43"/>
        <v>904</v>
      </c>
      <c r="AR41" s="12">
        <f t="shared" si="43"/>
        <v>944</v>
      </c>
      <c r="AS41" s="12">
        <f t="shared" si="43"/>
        <v>790</v>
      </c>
      <c r="AT41" s="12">
        <f t="shared" si="43"/>
        <v>273</v>
      </c>
      <c r="AU41" s="12">
        <f t="shared" si="43"/>
        <v>326</v>
      </c>
      <c r="AV41" s="12">
        <f t="shared" si="43"/>
        <v>188</v>
      </c>
      <c r="AW41" s="12">
        <f t="shared" si="43"/>
        <v>297</v>
      </c>
      <c r="AX41" s="12">
        <f t="shared" si="43"/>
        <v>20</v>
      </c>
      <c r="AY41" s="12">
        <f t="shared" si="43"/>
        <v>571</v>
      </c>
      <c r="AZ41" s="12">
        <f t="shared" si="43"/>
        <v>263</v>
      </c>
      <c r="BA41" s="12">
        <f t="shared" si="43"/>
        <v>149</v>
      </c>
      <c r="BB41" s="12">
        <f t="shared" si="43"/>
        <v>324</v>
      </c>
      <c r="BC41" s="12">
        <f t="shared" si="43"/>
        <v>203</v>
      </c>
      <c r="BD41" s="12">
        <f t="shared" si="43"/>
        <v>471</v>
      </c>
      <c r="BE41" s="12">
        <f t="shared" si="43"/>
        <v>95</v>
      </c>
      <c r="BF41" s="12">
        <f t="shared" si="43"/>
        <v>45</v>
      </c>
      <c r="BG41" s="12">
        <f t="shared" si="43"/>
        <v>956</v>
      </c>
      <c r="BH41" s="12">
        <f t="shared" si="43"/>
        <v>156</v>
      </c>
      <c r="BI41" s="12">
        <f t="shared" si="43"/>
        <v>500</v>
      </c>
      <c r="BJ41" s="12">
        <f t="shared" si="43"/>
        <v>138</v>
      </c>
      <c r="BK41" s="12">
        <f t="shared" si="43"/>
        <v>340</v>
      </c>
      <c r="BL41" s="12">
        <f t="shared" si="43"/>
        <v>829</v>
      </c>
      <c r="BM41" s="12">
        <f t="shared" si="43"/>
        <v>734</v>
      </c>
      <c r="BN41" s="12">
        <f t="shared" si="43"/>
        <v>22334</v>
      </c>
      <c r="BO41" s="12">
        <f t="shared" si="43"/>
        <v>1567</v>
      </c>
      <c r="BP41" s="12">
        <f t="shared" si="43"/>
        <v>2697</v>
      </c>
      <c r="BQ41" s="12">
        <f t="shared" si="43"/>
        <v>26598</v>
      </c>
      <c r="BR41" s="3"/>
      <c r="BS41" s="3"/>
      <c r="BT41" s="3"/>
      <c r="BU41" s="4"/>
      <c r="BV41" s="3"/>
      <c r="BW41" s="3"/>
      <c r="BX41" s="3"/>
      <c r="BY41" s="3"/>
      <c r="BZ41" s="4"/>
      <c r="CA41" s="3"/>
      <c r="CB41" s="3"/>
      <c r="CC41" s="3"/>
      <c r="CD41" s="4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75">
      <c r="A42" s="14"/>
      <c r="B42" s="3"/>
      <c r="C42" s="3"/>
      <c r="D42" s="3"/>
      <c r="E42" s="6">
        <f>E41/E40</f>
        <v>11.34209657903421</v>
      </c>
      <c r="F42" s="3"/>
      <c r="G42" s="6">
        <f aca="true" t="shared" si="44" ref="G42:Z42">G41/G40</f>
        <v>27.83233173076923</v>
      </c>
      <c r="H42" s="6">
        <f t="shared" si="44"/>
        <v>9.102702702702702</v>
      </c>
      <c r="I42" s="6">
        <f t="shared" si="44"/>
        <v>9.680232558139535</v>
      </c>
      <c r="J42" s="6">
        <f t="shared" si="44"/>
        <v>10.067099567099566</v>
      </c>
      <c r="K42" s="6">
        <f t="shared" si="44"/>
        <v>7.86</v>
      </c>
      <c r="L42" s="6">
        <f t="shared" si="44"/>
        <v>8.48407643312102</v>
      </c>
      <c r="M42" s="6">
        <f t="shared" si="44"/>
        <v>18.584415584415584</v>
      </c>
      <c r="N42" s="6">
        <f t="shared" si="44"/>
        <v>8.37864077669903</v>
      </c>
      <c r="O42" s="6">
        <f t="shared" si="44"/>
        <v>11.98690761571086</v>
      </c>
      <c r="P42" s="6">
        <f t="shared" si="44"/>
        <v>11.102028639618139</v>
      </c>
      <c r="Q42" s="6">
        <f t="shared" si="44"/>
        <v>10.325062034739455</v>
      </c>
      <c r="R42" s="6">
        <f t="shared" si="44"/>
        <v>6.280224929709465</v>
      </c>
      <c r="S42" s="6">
        <f t="shared" si="44"/>
        <v>7.375</v>
      </c>
      <c r="T42" s="6">
        <f t="shared" si="44"/>
        <v>5.958333333333333</v>
      </c>
      <c r="U42" s="6">
        <f t="shared" si="44"/>
        <v>7.347153668970056</v>
      </c>
      <c r="V42" s="6">
        <f t="shared" si="44"/>
        <v>3.997448979591837</v>
      </c>
      <c r="W42" s="6">
        <f t="shared" si="44"/>
        <v>3.9030390738060783</v>
      </c>
      <c r="X42" s="6">
        <f t="shared" si="44"/>
        <v>10.23542857142857</v>
      </c>
      <c r="Y42" s="6">
        <f t="shared" si="44"/>
        <v>11.211802881971181</v>
      </c>
      <c r="Z42" s="6">
        <f t="shared" si="44"/>
        <v>12.764884338263178</v>
      </c>
      <c r="AA42" s="6"/>
      <c r="AB42" s="6">
        <f aca="true" t="shared" si="45" ref="AB42:BQ42">AB41/AB40</f>
        <v>16.15686274509804</v>
      </c>
      <c r="AC42" s="6">
        <f t="shared" si="45"/>
        <v>84.8</v>
      </c>
      <c r="AD42" s="6">
        <f t="shared" si="45"/>
        <v>8.9375</v>
      </c>
      <c r="AE42" s="6">
        <f t="shared" si="45"/>
        <v>10.984615384615385</v>
      </c>
      <c r="AF42" s="6">
        <f t="shared" si="45"/>
        <v>4.2727272727272725</v>
      </c>
      <c r="AG42" s="6">
        <f t="shared" si="45"/>
        <v>7.566037735849057</v>
      </c>
      <c r="AH42" s="6">
        <f t="shared" si="45"/>
        <v>5.350877192982456</v>
      </c>
      <c r="AI42" s="6">
        <f t="shared" si="45"/>
        <v>26.768115942028984</v>
      </c>
      <c r="AJ42" s="6">
        <f t="shared" si="45"/>
        <v>4.416666666666667</v>
      </c>
      <c r="AK42" s="6">
        <f t="shared" si="45"/>
        <v>5.03921568627451</v>
      </c>
      <c r="AL42" s="6">
        <f t="shared" si="45"/>
        <v>11.493333333333334</v>
      </c>
      <c r="AM42" s="6">
        <f t="shared" si="45"/>
        <v>5.7351190476190474</v>
      </c>
      <c r="AN42" s="6">
        <f t="shared" si="45"/>
        <v>3.309917355371901</v>
      </c>
      <c r="AO42" s="6">
        <f t="shared" si="45"/>
        <v>5.929166666666666</v>
      </c>
      <c r="AP42" s="6">
        <f t="shared" si="45"/>
        <v>7.719298245614035</v>
      </c>
      <c r="AQ42" s="6">
        <f t="shared" si="45"/>
        <v>6.696296296296296</v>
      </c>
      <c r="AR42" s="6">
        <f t="shared" si="45"/>
        <v>4.538461538461538</v>
      </c>
      <c r="AS42" s="6">
        <f t="shared" si="45"/>
        <v>13.166666666666666</v>
      </c>
      <c r="AT42" s="6">
        <f t="shared" si="45"/>
        <v>4.403225806451613</v>
      </c>
      <c r="AU42" s="6">
        <f t="shared" si="45"/>
        <v>3.326530612244898</v>
      </c>
      <c r="AV42" s="6">
        <f t="shared" si="45"/>
        <v>5.371428571428571</v>
      </c>
      <c r="AW42" s="6">
        <f t="shared" si="45"/>
        <v>7.815789473684211</v>
      </c>
      <c r="AX42" s="6">
        <f t="shared" si="45"/>
        <v>1.1764705882352942</v>
      </c>
      <c r="AY42" s="6">
        <f t="shared" si="45"/>
        <v>4.880341880341881</v>
      </c>
      <c r="AZ42" s="6">
        <f t="shared" si="45"/>
        <v>5.9772727272727275</v>
      </c>
      <c r="BA42" s="6">
        <f t="shared" si="45"/>
        <v>4.027027027027027</v>
      </c>
      <c r="BB42" s="6">
        <f t="shared" si="45"/>
        <v>3.145631067961165</v>
      </c>
      <c r="BC42" s="6">
        <f t="shared" si="45"/>
        <v>4.951219512195122</v>
      </c>
      <c r="BD42" s="6">
        <f t="shared" si="45"/>
        <v>5.3522727272727275</v>
      </c>
      <c r="BE42" s="6">
        <f t="shared" si="45"/>
        <v>1.9791666666666667</v>
      </c>
      <c r="BF42" s="6">
        <f t="shared" si="45"/>
        <v>7.5</v>
      </c>
      <c r="BG42" s="6">
        <f t="shared" si="45"/>
        <v>3.824</v>
      </c>
      <c r="BH42" s="6">
        <f t="shared" si="45"/>
        <v>8.210526315789474</v>
      </c>
      <c r="BI42" s="6">
        <f t="shared" si="45"/>
        <v>7.462686567164179</v>
      </c>
      <c r="BJ42" s="6">
        <f t="shared" si="45"/>
        <v>6</v>
      </c>
      <c r="BK42" s="6">
        <f t="shared" si="45"/>
        <v>6.415094339622642</v>
      </c>
      <c r="BL42" s="6">
        <f t="shared" si="45"/>
        <v>4.208121827411167</v>
      </c>
      <c r="BM42" s="6">
        <f t="shared" si="45"/>
        <v>2.210843373493976</v>
      </c>
      <c r="BN42" s="6">
        <f t="shared" si="45"/>
        <v>7.3442946399210784</v>
      </c>
      <c r="BO42" s="6">
        <f t="shared" si="45"/>
        <v>3.997448979591837</v>
      </c>
      <c r="BP42" s="6">
        <f t="shared" si="45"/>
        <v>3.9030390738060783</v>
      </c>
      <c r="BQ42" s="6">
        <f t="shared" si="45"/>
        <v>6.449563530552862</v>
      </c>
      <c r="BR42" s="3"/>
      <c r="BS42" s="3"/>
      <c r="BT42" s="3"/>
      <c r="BU42" s="4"/>
      <c r="BV42" s="3"/>
      <c r="BW42" s="3"/>
      <c r="BX42" s="3"/>
      <c r="BY42" s="3"/>
      <c r="BZ42" s="4"/>
      <c r="CA42" s="3"/>
      <c r="CB42" s="3"/>
      <c r="CC42" s="3"/>
      <c r="CD42" s="4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25:82" ht="15.75">
      <c r="Y43">
        <f aca="true" t="shared" si="46" ref="Y43:Y57">SUM(G43:X43)</f>
        <v>0</v>
      </c>
      <c r="Z43">
        <f aca="true" t="shared" si="47" ref="Z43:Z57">SUM(G43:T43)</f>
        <v>0</v>
      </c>
      <c r="AA43" s="2"/>
      <c r="AB43" s="10"/>
      <c r="AC43" s="11"/>
      <c r="AD43" s="10"/>
      <c r="AE43" s="10"/>
      <c r="AF43" s="10"/>
      <c r="AG43" s="11"/>
      <c r="BU43" s="8"/>
      <c r="BZ43" s="8"/>
      <c r="CD43" s="8"/>
    </row>
    <row r="44" spans="1:82" ht="15.75">
      <c r="A44" s="15" t="s">
        <v>110</v>
      </c>
      <c r="B44" t="s">
        <v>111</v>
      </c>
      <c r="C44" t="s">
        <v>112</v>
      </c>
      <c r="D44" t="s">
        <v>68</v>
      </c>
      <c r="E44">
        <v>4204</v>
      </c>
      <c r="G44">
        <v>618</v>
      </c>
      <c r="H44">
        <v>308</v>
      </c>
      <c r="I44">
        <v>86</v>
      </c>
      <c r="J44">
        <v>363</v>
      </c>
      <c r="K44">
        <v>79</v>
      </c>
      <c r="L44">
        <v>122</v>
      </c>
      <c r="M44">
        <v>83</v>
      </c>
      <c r="N44">
        <v>99</v>
      </c>
      <c r="O44">
        <v>443</v>
      </c>
      <c r="P44">
        <v>237</v>
      </c>
      <c r="Q44">
        <v>77</v>
      </c>
      <c r="R44">
        <v>170</v>
      </c>
      <c r="S44">
        <v>13</v>
      </c>
      <c r="T44">
        <v>52</v>
      </c>
      <c r="U44">
        <v>622</v>
      </c>
      <c r="V44">
        <v>46</v>
      </c>
      <c r="W44">
        <v>60</v>
      </c>
      <c r="X44">
        <v>726</v>
      </c>
      <c r="Y44">
        <f t="shared" si="46"/>
        <v>4204</v>
      </c>
      <c r="Z44">
        <f t="shared" si="47"/>
        <v>2750</v>
      </c>
      <c r="AA44" s="2"/>
      <c r="AB44" s="10">
        <f>6+1+4</f>
        <v>11</v>
      </c>
      <c r="AC44" s="10"/>
      <c r="AD44" s="10">
        <v>1</v>
      </c>
      <c r="AE44" s="10">
        <v>1</v>
      </c>
      <c r="AF44" s="10"/>
      <c r="AG44" s="11"/>
      <c r="AH44">
        <v>2</v>
      </c>
      <c r="AJ44">
        <v>1</v>
      </c>
      <c r="AL44">
        <f>2+6</f>
        <v>8</v>
      </c>
      <c r="AM44">
        <v>6</v>
      </c>
      <c r="AO44">
        <f>16+1</f>
        <v>17</v>
      </c>
      <c r="AP44">
        <f>1+4+1</f>
        <v>6</v>
      </c>
      <c r="AQ44">
        <v>9</v>
      </c>
      <c r="AR44">
        <v>4</v>
      </c>
      <c r="AS44">
        <v>6</v>
      </c>
      <c r="AU44">
        <v>1</v>
      </c>
      <c r="BA44">
        <v>3</v>
      </c>
      <c r="BB44">
        <v>2</v>
      </c>
      <c r="BC44">
        <v>2</v>
      </c>
      <c r="BF44">
        <v>1</v>
      </c>
      <c r="BG44">
        <v>4</v>
      </c>
      <c r="BH44">
        <v>1</v>
      </c>
      <c r="BN44">
        <f aca="true" t="shared" si="48" ref="BN44:BN57">SUM(AA44:BC44)</f>
        <v>80</v>
      </c>
      <c r="BO44">
        <f aca="true" t="shared" si="49" ref="BO44:BO57">SUM(BD44:BG44)</f>
        <v>5</v>
      </c>
      <c r="BP44">
        <f aca="true" t="shared" si="50" ref="BP44:BP57">SUM(BH44:BM44)</f>
        <v>1</v>
      </c>
      <c r="BQ44">
        <f aca="true" t="shared" si="51" ref="BQ44:BQ57">SUM(BN44:BP44)</f>
        <v>86</v>
      </c>
      <c r="BR44">
        <f aca="true" t="shared" si="52" ref="BR44:BU45">BN44+BN46</f>
        <v>624</v>
      </c>
      <c r="BS44">
        <f t="shared" si="52"/>
        <v>46</v>
      </c>
      <c r="BT44">
        <f t="shared" si="52"/>
        <v>60</v>
      </c>
      <c r="BU44">
        <f t="shared" si="52"/>
        <v>730</v>
      </c>
      <c r="BW44" s="2">
        <f aca="true" t="shared" si="53" ref="BW44:CD44">BN45/BN44</f>
        <v>13.875</v>
      </c>
      <c r="BX44" s="2">
        <f t="shared" si="53"/>
        <v>14.8</v>
      </c>
      <c r="BY44" s="2">
        <f t="shared" si="53"/>
        <v>350</v>
      </c>
      <c r="BZ44" s="5">
        <f t="shared" si="53"/>
        <v>17.837209302325583</v>
      </c>
      <c r="CA44" s="2">
        <f t="shared" si="53"/>
        <v>26.993589743589745</v>
      </c>
      <c r="CB44" s="2">
        <f t="shared" si="53"/>
        <v>34.52173913043478</v>
      </c>
      <c r="CC44" s="2">
        <f t="shared" si="53"/>
        <v>38.63333333333333</v>
      </c>
      <c r="CD44" s="5">
        <f t="shared" si="53"/>
        <v>28.424657534246574</v>
      </c>
    </row>
    <row r="45" spans="4:82" ht="15.75">
      <c r="D45" t="s">
        <v>70</v>
      </c>
      <c r="E45">
        <v>137148</v>
      </c>
      <c r="G45">
        <v>27579</v>
      </c>
      <c r="H45">
        <v>4447</v>
      </c>
      <c r="I45">
        <v>1770</v>
      </c>
      <c r="J45">
        <v>8197</v>
      </c>
      <c r="K45">
        <v>2617</v>
      </c>
      <c r="L45">
        <v>1127</v>
      </c>
      <c r="M45">
        <v>11157</v>
      </c>
      <c r="N45">
        <v>2749</v>
      </c>
      <c r="O45">
        <v>20408</v>
      </c>
      <c r="P45">
        <v>6712</v>
      </c>
      <c r="Q45">
        <v>5080</v>
      </c>
      <c r="R45">
        <v>5967</v>
      </c>
      <c r="S45">
        <v>1160</v>
      </c>
      <c r="T45">
        <v>1959</v>
      </c>
      <c r="U45">
        <v>16769</v>
      </c>
      <c r="V45">
        <v>1588</v>
      </c>
      <c r="W45">
        <v>2318</v>
      </c>
      <c r="X45">
        <v>15544</v>
      </c>
      <c r="Y45">
        <f t="shared" si="46"/>
        <v>137148</v>
      </c>
      <c r="Z45">
        <f t="shared" si="47"/>
        <v>100929</v>
      </c>
      <c r="AA45" s="2"/>
      <c r="AB45" s="10">
        <f>34+17+178</f>
        <v>229</v>
      </c>
      <c r="AC45" s="10"/>
      <c r="AD45" s="10">
        <v>20</v>
      </c>
      <c r="AE45" s="10">
        <v>3</v>
      </c>
      <c r="AF45" s="10"/>
      <c r="AG45" s="11"/>
      <c r="AH45">
        <v>20</v>
      </c>
      <c r="AJ45">
        <v>34</v>
      </c>
      <c r="AL45">
        <f>92+159</f>
        <v>251</v>
      </c>
      <c r="AM45">
        <v>159</v>
      </c>
      <c r="AO45">
        <f>19+2</f>
        <v>21</v>
      </c>
      <c r="AP45">
        <f>92+35+7</f>
        <v>134</v>
      </c>
      <c r="AQ45">
        <v>135</v>
      </c>
      <c r="AR45">
        <v>19</v>
      </c>
      <c r="AS45">
        <v>46</v>
      </c>
      <c r="AU45">
        <v>2</v>
      </c>
      <c r="BA45">
        <v>14</v>
      </c>
      <c r="BB45">
        <v>7</v>
      </c>
      <c r="BC45">
        <v>16</v>
      </c>
      <c r="BF45">
        <v>70</v>
      </c>
      <c r="BG45">
        <v>4</v>
      </c>
      <c r="BH45">
        <v>350</v>
      </c>
      <c r="BN45">
        <f t="shared" si="48"/>
        <v>1110</v>
      </c>
      <c r="BO45">
        <f t="shared" si="49"/>
        <v>74</v>
      </c>
      <c r="BP45">
        <f t="shared" si="50"/>
        <v>350</v>
      </c>
      <c r="BQ45">
        <f t="shared" si="51"/>
        <v>1534</v>
      </c>
      <c r="BR45">
        <f t="shared" si="52"/>
        <v>16844</v>
      </c>
      <c r="BS45">
        <f t="shared" si="52"/>
        <v>1588</v>
      </c>
      <c r="BT45">
        <f t="shared" si="52"/>
        <v>2318</v>
      </c>
      <c r="BU45">
        <f t="shared" si="52"/>
        <v>20750</v>
      </c>
      <c r="BZ45" s="8"/>
      <c r="CD45" s="8"/>
    </row>
    <row r="46" spans="2:82" ht="15.75">
      <c r="B46" t="s">
        <v>113</v>
      </c>
      <c r="C46" t="s">
        <v>114</v>
      </c>
      <c r="D46" t="s">
        <v>68</v>
      </c>
      <c r="Y46">
        <f t="shared" si="46"/>
        <v>0</v>
      </c>
      <c r="Z46">
        <f t="shared" si="47"/>
        <v>0</v>
      </c>
      <c r="AA46" s="2"/>
      <c r="AB46" s="10">
        <v>24</v>
      </c>
      <c r="AC46" s="10"/>
      <c r="AD46" s="10">
        <v>29</v>
      </c>
      <c r="AE46" s="10">
        <v>21</v>
      </c>
      <c r="AF46" s="10">
        <v>32</v>
      </c>
      <c r="AG46" s="10">
        <v>22</v>
      </c>
      <c r="AH46">
        <v>13</v>
      </c>
      <c r="AI46">
        <v>22</v>
      </c>
      <c r="AJ46">
        <v>21</v>
      </c>
      <c r="AK46">
        <v>31</v>
      </c>
      <c r="AL46">
        <v>28</v>
      </c>
      <c r="AM46">
        <v>20</v>
      </c>
      <c r="AN46">
        <v>29</v>
      </c>
      <c r="AO46">
        <v>22</v>
      </c>
      <c r="AP46">
        <v>26</v>
      </c>
      <c r="AQ46">
        <v>22</v>
      </c>
      <c r="AR46">
        <v>21</v>
      </c>
      <c r="AS46">
        <v>17</v>
      </c>
      <c r="AT46">
        <v>13</v>
      </c>
      <c r="AU46">
        <v>26</v>
      </c>
      <c r="AV46">
        <v>23</v>
      </c>
      <c r="AW46">
        <v>20</v>
      </c>
      <c r="AX46">
        <v>5</v>
      </c>
      <c r="AY46">
        <v>8</v>
      </c>
      <c r="AZ46">
        <v>6</v>
      </c>
      <c r="BA46">
        <v>17</v>
      </c>
      <c r="BB46">
        <v>20</v>
      </c>
      <c r="BC46">
        <v>6</v>
      </c>
      <c r="BD46">
        <v>14</v>
      </c>
      <c r="BE46">
        <v>8</v>
      </c>
      <c r="BF46">
        <v>5</v>
      </c>
      <c r="BG46">
        <v>14</v>
      </c>
      <c r="BH46">
        <v>13</v>
      </c>
      <c r="BI46">
        <v>14</v>
      </c>
      <c r="BJ46">
        <v>10</v>
      </c>
      <c r="BK46">
        <v>8</v>
      </c>
      <c r="BL46">
        <v>6</v>
      </c>
      <c r="BM46">
        <v>8</v>
      </c>
      <c r="BN46">
        <f t="shared" si="48"/>
        <v>544</v>
      </c>
      <c r="BO46">
        <f t="shared" si="49"/>
        <v>41</v>
      </c>
      <c r="BP46">
        <f t="shared" si="50"/>
        <v>59</v>
      </c>
      <c r="BQ46">
        <f t="shared" si="51"/>
        <v>644</v>
      </c>
      <c r="BU46" s="8"/>
      <c r="BW46" s="2">
        <f>BN47/BN46</f>
        <v>28.922794117647058</v>
      </c>
      <c r="BX46" s="2">
        <f>BO47/BO46</f>
        <v>36.926829268292686</v>
      </c>
      <c r="BY46" s="2">
        <f>BP47/BP46</f>
        <v>33.355932203389834</v>
      </c>
      <c r="BZ46" s="5">
        <f>BQ47/BQ46</f>
        <v>29.838509316770185</v>
      </c>
      <c r="CA46" s="2"/>
      <c r="CB46" s="2"/>
      <c r="CC46" s="2"/>
      <c r="CD46" s="5"/>
    </row>
    <row r="47" spans="4:82" ht="15.75">
      <c r="D47" t="s">
        <v>70</v>
      </c>
      <c r="Y47">
        <f t="shared" si="46"/>
        <v>0</v>
      </c>
      <c r="Z47">
        <f t="shared" si="47"/>
        <v>0</v>
      </c>
      <c r="AA47" s="2"/>
      <c r="AB47" s="10">
        <v>2187</v>
      </c>
      <c r="AC47" s="10"/>
      <c r="AD47" s="10">
        <v>889</v>
      </c>
      <c r="AE47" s="10">
        <v>815</v>
      </c>
      <c r="AF47" s="10">
        <v>994</v>
      </c>
      <c r="AG47" s="10">
        <v>624</v>
      </c>
      <c r="AH47">
        <v>304</v>
      </c>
      <c r="AI47">
        <v>950</v>
      </c>
      <c r="AJ47">
        <v>583</v>
      </c>
      <c r="AK47">
        <v>922</v>
      </c>
      <c r="AL47">
        <v>711</v>
      </c>
      <c r="AM47">
        <v>536</v>
      </c>
      <c r="AN47">
        <v>447</v>
      </c>
      <c r="AO47">
        <v>696</v>
      </c>
      <c r="AP47">
        <v>867</v>
      </c>
      <c r="AQ47">
        <v>587</v>
      </c>
      <c r="AR47">
        <v>521</v>
      </c>
      <c r="AS47">
        <v>219</v>
      </c>
      <c r="AT47">
        <v>206</v>
      </c>
      <c r="AU47">
        <v>388</v>
      </c>
      <c r="AV47">
        <v>307</v>
      </c>
      <c r="AW47">
        <v>408</v>
      </c>
      <c r="AX47">
        <v>258</v>
      </c>
      <c r="AY47">
        <v>285</v>
      </c>
      <c r="AZ47">
        <v>202</v>
      </c>
      <c r="BA47">
        <v>223</v>
      </c>
      <c r="BB47">
        <v>418</v>
      </c>
      <c r="BC47">
        <v>187</v>
      </c>
      <c r="BD47">
        <v>384</v>
      </c>
      <c r="BE47">
        <v>181</v>
      </c>
      <c r="BF47">
        <v>465</v>
      </c>
      <c r="BG47">
        <v>484</v>
      </c>
      <c r="BH47">
        <v>530</v>
      </c>
      <c r="BI47">
        <v>316</v>
      </c>
      <c r="BJ47">
        <v>214</v>
      </c>
      <c r="BK47">
        <v>318</v>
      </c>
      <c r="BL47">
        <v>320</v>
      </c>
      <c r="BM47">
        <v>270</v>
      </c>
      <c r="BN47">
        <f t="shared" si="48"/>
        <v>15734</v>
      </c>
      <c r="BO47">
        <f t="shared" si="49"/>
        <v>1514</v>
      </c>
      <c r="BP47">
        <f t="shared" si="50"/>
        <v>1968</v>
      </c>
      <c r="BQ47">
        <f t="shared" si="51"/>
        <v>19216</v>
      </c>
      <c r="BU47" s="8"/>
      <c r="BZ47" s="8"/>
      <c r="CD47" s="8"/>
    </row>
    <row r="48" spans="1:82" ht="15.75">
      <c r="A48" s="15" t="s">
        <v>115</v>
      </c>
      <c r="B48" t="s">
        <v>116</v>
      </c>
      <c r="C48" t="s">
        <v>117</v>
      </c>
      <c r="D48" t="s">
        <v>68</v>
      </c>
      <c r="E48">
        <v>5534</v>
      </c>
      <c r="G48">
        <v>364</v>
      </c>
      <c r="H48">
        <v>369</v>
      </c>
      <c r="I48">
        <v>19</v>
      </c>
      <c r="J48">
        <v>122</v>
      </c>
      <c r="K48">
        <v>36</v>
      </c>
      <c r="L48">
        <v>44</v>
      </c>
      <c r="M48">
        <v>164</v>
      </c>
      <c r="N48">
        <v>132</v>
      </c>
      <c r="O48">
        <v>1032</v>
      </c>
      <c r="P48">
        <v>458</v>
      </c>
      <c r="Q48">
        <v>61</v>
      </c>
      <c r="R48">
        <v>619</v>
      </c>
      <c r="S48">
        <v>25</v>
      </c>
      <c r="T48">
        <v>472</v>
      </c>
      <c r="U48">
        <v>1247</v>
      </c>
      <c r="V48">
        <v>68</v>
      </c>
      <c r="W48">
        <v>97</v>
      </c>
      <c r="X48">
        <v>205</v>
      </c>
      <c r="Y48">
        <f t="shared" si="46"/>
        <v>5534</v>
      </c>
      <c r="Z48">
        <f t="shared" si="47"/>
        <v>3917</v>
      </c>
      <c r="AB48" s="10">
        <f>2+8+9</f>
        <v>19</v>
      </c>
      <c r="AC48" s="10"/>
      <c r="AD48" s="10">
        <v>2</v>
      </c>
      <c r="AE48" s="10">
        <f>1+1</f>
        <v>2</v>
      </c>
      <c r="AF48" s="10">
        <v>17</v>
      </c>
      <c r="AG48" s="10">
        <f>19+1</f>
        <v>20</v>
      </c>
      <c r="AH48">
        <f>2+1</f>
        <v>3</v>
      </c>
      <c r="AI48">
        <v>71</v>
      </c>
      <c r="AJ48">
        <v>43</v>
      </c>
      <c r="AK48">
        <v>1</v>
      </c>
      <c r="AL48">
        <v>1</v>
      </c>
      <c r="AM48">
        <v>3</v>
      </c>
      <c r="AN48">
        <v>9</v>
      </c>
      <c r="AO48">
        <v>23</v>
      </c>
      <c r="AP48">
        <f>1+4+1+1+1</f>
        <v>8</v>
      </c>
      <c r="AQ48">
        <v>1</v>
      </c>
      <c r="AR48">
        <f>1+10</f>
        <v>11</v>
      </c>
      <c r="AS48">
        <f>3+1</f>
        <v>4</v>
      </c>
      <c r="AT48">
        <f>4+27+4+1</f>
        <v>36</v>
      </c>
      <c r="AU48">
        <v>1</v>
      </c>
      <c r="AV48">
        <f>12+1</f>
        <v>13</v>
      </c>
      <c r="AW48">
        <v>1</v>
      </c>
      <c r="AX48">
        <v>1</v>
      </c>
      <c r="AY48">
        <v>6</v>
      </c>
      <c r="BA48">
        <f>9+4</f>
        <v>13</v>
      </c>
      <c r="BB48">
        <f>78+1+2</f>
        <v>81</v>
      </c>
      <c r="BC48">
        <v>62</v>
      </c>
      <c r="BD48">
        <v>1</v>
      </c>
      <c r="BG48">
        <f>3+1</f>
        <v>4</v>
      </c>
      <c r="BH48">
        <f>1+5</f>
        <v>6</v>
      </c>
      <c r="BI48">
        <v>1</v>
      </c>
      <c r="BJ48">
        <v>1</v>
      </c>
      <c r="BL48">
        <f>1+2</f>
        <v>3</v>
      </c>
      <c r="BM48">
        <v>1</v>
      </c>
      <c r="BN48">
        <f t="shared" si="48"/>
        <v>452</v>
      </c>
      <c r="BO48">
        <f t="shared" si="49"/>
        <v>5</v>
      </c>
      <c r="BP48">
        <f t="shared" si="50"/>
        <v>12</v>
      </c>
      <c r="BQ48">
        <f t="shared" si="51"/>
        <v>469</v>
      </c>
      <c r="BR48">
        <f aca="true" t="shared" si="54" ref="BR48:BU49">BN48+BN50+BN52</f>
        <v>1247</v>
      </c>
      <c r="BS48">
        <f t="shared" si="54"/>
        <v>68</v>
      </c>
      <c r="BT48">
        <f t="shared" si="54"/>
        <v>97</v>
      </c>
      <c r="BU48">
        <f t="shared" si="54"/>
        <v>1412</v>
      </c>
      <c r="BW48" s="2">
        <f aca="true" t="shared" si="55" ref="BW48:CD48">BN49/BN48</f>
        <v>12.152654867256636</v>
      </c>
      <c r="BX48" s="2">
        <f t="shared" si="55"/>
        <v>31.8</v>
      </c>
      <c r="BY48" s="2">
        <f t="shared" si="55"/>
        <v>83.08333333333333</v>
      </c>
      <c r="BZ48" s="5">
        <f t="shared" si="55"/>
        <v>14.176972281449894</v>
      </c>
      <c r="CA48" s="2">
        <f t="shared" si="55"/>
        <v>13.857257417802726</v>
      </c>
      <c r="CB48" s="2">
        <f t="shared" si="55"/>
        <v>15.588235294117647</v>
      </c>
      <c r="CC48" s="2">
        <f t="shared" si="55"/>
        <v>20.257731958762886</v>
      </c>
      <c r="CD48" s="5">
        <f t="shared" si="55"/>
        <v>14.380311614730878</v>
      </c>
    </row>
    <row r="49" spans="4:82" ht="15.75">
      <c r="D49" t="s">
        <v>70</v>
      </c>
      <c r="E49">
        <v>162414</v>
      </c>
      <c r="G49">
        <v>76659</v>
      </c>
      <c r="H49">
        <v>3420</v>
      </c>
      <c r="I49">
        <v>1247</v>
      </c>
      <c r="J49">
        <v>2032</v>
      </c>
      <c r="K49">
        <v>695</v>
      </c>
      <c r="L49">
        <v>948</v>
      </c>
      <c r="M49">
        <v>7399</v>
      </c>
      <c r="N49">
        <v>2134</v>
      </c>
      <c r="O49">
        <v>21073</v>
      </c>
      <c r="P49">
        <v>6827</v>
      </c>
      <c r="Q49">
        <v>993</v>
      </c>
      <c r="R49">
        <v>8079</v>
      </c>
      <c r="S49">
        <v>156</v>
      </c>
      <c r="T49">
        <v>2266</v>
      </c>
      <c r="U49">
        <v>17280</v>
      </c>
      <c r="V49">
        <v>1060</v>
      </c>
      <c r="W49">
        <v>1965</v>
      </c>
      <c r="X49">
        <v>8181</v>
      </c>
      <c r="Y49">
        <f t="shared" si="46"/>
        <v>162414</v>
      </c>
      <c r="Z49">
        <f t="shared" si="47"/>
        <v>133928</v>
      </c>
      <c r="AB49" s="10">
        <f>158+626+539</f>
        <v>1323</v>
      </c>
      <c r="AC49" s="10"/>
      <c r="AD49" s="10">
        <v>15</v>
      </c>
      <c r="AE49" s="10">
        <f>24+3</f>
        <v>27</v>
      </c>
      <c r="AF49" s="10">
        <v>63</v>
      </c>
      <c r="AG49" s="10">
        <f>110+21</f>
        <v>131</v>
      </c>
      <c r="AH49">
        <f>15+3</f>
        <v>18</v>
      </c>
      <c r="AI49">
        <v>1143</v>
      </c>
      <c r="AJ49">
        <v>334</v>
      </c>
      <c r="AK49">
        <v>32</v>
      </c>
      <c r="AL49">
        <v>13</v>
      </c>
      <c r="AM49">
        <v>201</v>
      </c>
      <c r="AN49">
        <v>74</v>
      </c>
      <c r="AO49">
        <v>351</v>
      </c>
      <c r="AP49">
        <f>1+44+3+1+3</f>
        <v>52</v>
      </c>
      <c r="AQ49">
        <v>4</v>
      </c>
      <c r="AR49">
        <f>2+24</f>
        <v>26</v>
      </c>
      <c r="AS49">
        <f>22+13</f>
        <v>35</v>
      </c>
      <c r="AT49">
        <f>34+145+18+2</f>
        <v>199</v>
      </c>
      <c r="AU49">
        <v>1</v>
      </c>
      <c r="AV49">
        <f>54+2</f>
        <v>56</v>
      </c>
      <c r="AW49">
        <v>10</v>
      </c>
      <c r="AX49">
        <v>1</v>
      </c>
      <c r="AY49">
        <v>70</v>
      </c>
      <c r="BA49">
        <f>103+17</f>
        <v>120</v>
      </c>
      <c r="BB49">
        <f>941+4+14</f>
        <v>959</v>
      </c>
      <c r="BC49">
        <v>235</v>
      </c>
      <c r="BD49">
        <v>29</v>
      </c>
      <c r="BG49">
        <f>74+56</f>
        <v>130</v>
      </c>
      <c r="BH49">
        <f>802+44</f>
        <v>846</v>
      </c>
      <c r="BI49">
        <v>10</v>
      </c>
      <c r="BJ49">
        <v>11</v>
      </c>
      <c r="BL49">
        <f>38+81</f>
        <v>119</v>
      </c>
      <c r="BM49">
        <v>11</v>
      </c>
      <c r="BN49">
        <f t="shared" si="48"/>
        <v>5493</v>
      </c>
      <c r="BO49">
        <f t="shared" si="49"/>
        <v>159</v>
      </c>
      <c r="BP49">
        <f t="shared" si="50"/>
        <v>997</v>
      </c>
      <c r="BQ49">
        <f t="shared" si="51"/>
        <v>6649</v>
      </c>
      <c r="BR49">
        <f t="shared" si="54"/>
        <v>17280</v>
      </c>
      <c r="BS49">
        <f t="shared" si="54"/>
        <v>1060</v>
      </c>
      <c r="BT49">
        <f t="shared" si="54"/>
        <v>1965</v>
      </c>
      <c r="BU49">
        <f t="shared" si="54"/>
        <v>20305</v>
      </c>
      <c r="BZ49" s="8"/>
      <c r="CD49" s="8"/>
    </row>
    <row r="50" spans="2:82" ht="15.75">
      <c r="B50" t="s">
        <v>118</v>
      </c>
      <c r="C50" t="s">
        <v>119</v>
      </c>
      <c r="D50" t="s">
        <v>68</v>
      </c>
      <c r="Y50">
        <f t="shared" si="46"/>
        <v>0</v>
      </c>
      <c r="Z50">
        <f t="shared" si="47"/>
        <v>0</v>
      </c>
      <c r="AB50" s="10">
        <v>32</v>
      </c>
      <c r="AC50" s="10"/>
      <c r="AD50" s="10">
        <v>33</v>
      </c>
      <c r="AE50" s="10">
        <v>22</v>
      </c>
      <c r="AF50" s="10">
        <v>29</v>
      </c>
      <c r="AG50" s="10">
        <v>29</v>
      </c>
      <c r="AH50">
        <v>12</v>
      </c>
      <c r="AI50">
        <v>85</v>
      </c>
      <c r="AJ50">
        <v>22</v>
      </c>
      <c r="AK50">
        <v>25</v>
      </c>
      <c r="AL50">
        <v>34</v>
      </c>
      <c r="AM50">
        <v>23</v>
      </c>
      <c r="AN50">
        <v>16</v>
      </c>
      <c r="AO50">
        <v>31</v>
      </c>
      <c r="AP50">
        <v>47</v>
      </c>
      <c r="AQ50">
        <v>35</v>
      </c>
      <c r="AR50">
        <v>16</v>
      </c>
      <c r="AS50">
        <v>18</v>
      </c>
      <c r="AT50">
        <v>30</v>
      </c>
      <c r="AU50">
        <v>40</v>
      </c>
      <c r="AV50">
        <v>34</v>
      </c>
      <c r="AW50">
        <v>23</v>
      </c>
      <c r="AX50">
        <v>14</v>
      </c>
      <c r="AY50">
        <v>14</v>
      </c>
      <c r="AZ50">
        <v>14</v>
      </c>
      <c r="BA50">
        <v>35</v>
      </c>
      <c r="BB50">
        <v>57</v>
      </c>
      <c r="BC50">
        <v>23</v>
      </c>
      <c r="BD50">
        <v>16</v>
      </c>
      <c r="BE50">
        <v>8</v>
      </c>
      <c r="BF50">
        <v>3</v>
      </c>
      <c r="BG50">
        <v>35</v>
      </c>
      <c r="BH50">
        <v>21</v>
      </c>
      <c r="BI50">
        <v>16</v>
      </c>
      <c r="BJ50">
        <v>10</v>
      </c>
      <c r="BK50">
        <v>20</v>
      </c>
      <c r="BL50">
        <v>10</v>
      </c>
      <c r="BM50">
        <v>8</v>
      </c>
      <c r="BN50">
        <f t="shared" si="48"/>
        <v>793</v>
      </c>
      <c r="BO50">
        <f t="shared" si="49"/>
        <v>62</v>
      </c>
      <c r="BP50">
        <f t="shared" si="50"/>
        <v>85</v>
      </c>
      <c r="BQ50">
        <f t="shared" si="51"/>
        <v>940</v>
      </c>
      <c r="BU50" s="8"/>
      <c r="BW50" s="2">
        <f>BN51/BN50</f>
        <v>12.33795712484237</v>
      </c>
      <c r="BX50" s="2">
        <f>BO51/BO50</f>
        <v>12.709677419354838</v>
      </c>
      <c r="BY50" s="2">
        <f>BP51/BP50</f>
        <v>11.388235294117647</v>
      </c>
      <c r="BZ50" s="5">
        <f>BQ51/BQ50</f>
        <v>12.27659574468085</v>
      </c>
      <c r="CA50" s="2"/>
      <c r="CB50" s="2"/>
      <c r="CC50" s="2"/>
      <c r="CD50" s="5"/>
    </row>
    <row r="51" spans="4:82" ht="15.75">
      <c r="D51" t="s">
        <v>70</v>
      </c>
      <c r="Y51">
        <f t="shared" si="46"/>
        <v>0</v>
      </c>
      <c r="Z51">
        <f t="shared" si="47"/>
        <v>0</v>
      </c>
      <c r="AB51" s="10">
        <v>786</v>
      </c>
      <c r="AC51" s="10"/>
      <c r="AD51" s="10">
        <v>321</v>
      </c>
      <c r="AE51" s="10">
        <v>390</v>
      </c>
      <c r="AF51" s="10">
        <v>315</v>
      </c>
      <c r="AG51" s="10">
        <v>593</v>
      </c>
      <c r="AH51">
        <v>136</v>
      </c>
      <c r="AI51">
        <v>1543</v>
      </c>
      <c r="AJ51">
        <v>194</v>
      </c>
      <c r="AK51">
        <v>418</v>
      </c>
      <c r="AL51">
        <v>459</v>
      </c>
      <c r="AM51">
        <v>332</v>
      </c>
      <c r="AN51">
        <v>215</v>
      </c>
      <c r="AO51">
        <v>673</v>
      </c>
      <c r="AP51">
        <v>792</v>
      </c>
      <c r="AQ51">
        <v>389</v>
      </c>
      <c r="AR51">
        <v>107</v>
      </c>
      <c r="AS51">
        <v>103</v>
      </c>
      <c r="AT51">
        <v>335</v>
      </c>
      <c r="AU51">
        <v>292</v>
      </c>
      <c r="AV51">
        <v>169</v>
      </c>
      <c r="AW51">
        <v>141</v>
      </c>
      <c r="AX51">
        <v>113</v>
      </c>
      <c r="AY51">
        <v>343</v>
      </c>
      <c r="AZ51">
        <v>53</v>
      </c>
      <c r="BA51">
        <v>125</v>
      </c>
      <c r="BB51">
        <v>311</v>
      </c>
      <c r="BC51">
        <v>136</v>
      </c>
      <c r="BD51">
        <v>241</v>
      </c>
      <c r="BE51">
        <v>183</v>
      </c>
      <c r="BF51">
        <v>22</v>
      </c>
      <c r="BG51">
        <v>342</v>
      </c>
      <c r="BH51">
        <v>240</v>
      </c>
      <c r="BI51">
        <v>201</v>
      </c>
      <c r="BJ51">
        <v>93</v>
      </c>
      <c r="BK51">
        <v>201</v>
      </c>
      <c r="BL51">
        <v>137</v>
      </c>
      <c r="BM51">
        <v>96</v>
      </c>
      <c r="BN51">
        <f t="shared" si="48"/>
        <v>9784</v>
      </c>
      <c r="BO51">
        <f t="shared" si="49"/>
        <v>788</v>
      </c>
      <c r="BP51">
        <f t="shared" si="50"/>
        <v>968</v>
      </c>
      <c r="BQ51">
        <f t="shared" si="51"/>
        <v>11540</v>
      </c>
      <c r="BU51" s="8"/>
      <c r="BZ51" s="8"/>
      <c r="CD51" s="8"/>
    </row>
    <row r="52" spans="2:82" ht="15.75">
      <c r="B52" t="s">
        <v>120</v>
      </c>
      <c r="C52" t="s">
        <v>121</v>
      </c>
      <c r="D52" t="s">
        <v>68</v>
      </c>
      <c r="Y52">
        <f t="shared" si="46"/>
        <v>0</v>
      </c>
      <c r="Z52">
        <f t="shared" si="47"/>
        <v>0</v>
      </c>
      <c r="AB52" s="10">
        <v>1</v>
      </c>
      <c r="AC52" s="10"/>
      <c r="AD52" s="10"/>
      <c r="AE52" s="10"/>
      <c r="AF52" s="10"/>
      <c r="AG52" s="10"/>
      <c r="AT52">
        <v>1</v>
      </c>
      <c r="BF52">
        <v>1</v>
      </c>
      <c r="BN52">
        <f t="shared" si="48"/>
        <v>2</v>
      </c>
      <c r="BO52">
        <f t="shared" si="49"/>
        <v>1</v>
      </c>
      <c r="BP52">
        <f t="shared" si="50"/>
        <v>0</v>
      </c>
      <c r="BQ52">
        <f t="shared" si="51"/>
        <v>3</v>
      </c>
      <c r="BU52" s="8"/>
      <c r="BW52" s="2">
        <f>BN53/BN52</f>
        <v>1001.5</v>
      </c>
      <c r="BX52" s="2">
        <f>BO53/BO52</f>
        <v>113</v>
      </c>
      <c r="BY52" s="2">
        <v>0</v>
      </c>
      <c r="BZ52" s="5">
        <f>BQ53/BQ52</f>
        <v>705.3333333333334</v>
      </c>
      <c r="CA52" s="2"/>
      <c r="CB52" s="2"/>
      <c r="CC52" s="2"/>
      <c r="CD52" s="5"/>
    </row>
    <row r="53" spans="4:82" ht="15.75">
      <c r="D53" t="s">
        <v>70</v>
      </c>
      <c r="Y53">
        <f t="shared" si="46"/>
        <v>0</v>
      </c>
      <c r="Z53">
        <f t="shared" si="47"/>
        <v>0</v>
      </c>
      <c r="AB53" s="10">
        <v>1824</v>
      </c>
      <c r="AC53" s="10"/>
      <c r="AD53" s="10"/>
      <c r="AE53" s="10"/>
      <c r="AF53" s="10"/>
      <c r="AG53" s="10"/>
      <c r="AT53">
        <v>179</v>
      </c>
      <c r="BF53">
        <v>113</v>
      </c>
      <c r="BN53">
        <f t="shared" si="48"/>
        <v>2003</v>
      </c>
      <c r="BO53">
        <f t="shared" si="49"/>
        <v>113</v>
      </c>
      <c r="BP53">
        <f t="shared" si="50"/>
        <v>0</v>
      </c>
      <c r="BQ53">
        <f t="shared" si="51"/>
        <v>2116</v>
      </c>
      <c r="BU53" s="8"/>
      <c r="BZ53" s="8"/>
      <c r="CD53" s="8"/>
    </row>
    <row r="54" spans="1:82" ht="15.75">
      <c r="A54" s="15" t="s">
        <v>122</v>
      </c>
      <c r="B54" t="s">
        <v>123</v>
      </c>
      <c r="C54" t="s">
        <v>124</v>
      </c>
      <c r="D54" t="s">
        <v>68</v>
      </c>
      <c r="E54">
        <v>167</v>
      </c>
      <c r="G54">
        <v>76</v>
      </c>
      <c r="H54">
        <v>3</v>
      </c>
      <c r="I54">
        <v>2</v>
      </c>
      <c r="J54">
        <v>11</v>
      </c>
      <c r="K54">
        <v>4</v>
      </c>
      <c r="L54">
        <v>1</v>
      </c>
      <c r="N54">
        <v>1</v>
      </c>
      <c r="O54">
        <v>29</v>
      </c>
      <c r="P54">
        <v>3</v>
      </c>
      <c r="Q54">
        <v>5</v>
      </c>
      <c r="R54">
        <v>10</v>
      </c>
      <c r="U54">
        <v>8</v>
      </c>
      <c r="X54">
        <v>14</v>
      </c>
      <c r="Y54">
        <f t="shared" si="46"/>
        <v>167</v>
      </c>
      <c r="Z54">
        <f t="shared" si="47"/>
        <v>145</v>
      </c>
      <c r="AB54" s="10">
        <v>1</v>
      </c>
      <c r="AC54" s="10"/>
      <c r="AD54" s="10"/>
      <c r="AE54" s="10"/>
      <c r="AF54" s="10"/>
      <c r="AG54" s="10"/>
      <c r="AQ54">
        <f>1+4</f>
        <v>5</v>
      </c>
      <c r="AT54">
        <v>1</v>
      </c>
      <c r="AX54">
        <v>1</v>
      </c>
      <c r="BN54">
        <f t="shared" si="48"/>
        <v>8</v>
      </c>
      <c r="BO54">
        <f t="shared" si="49"/>
        <v>0</v>
      </c>
      <c r="BP54">
        <f t="shared" si="50"/>
        <v>0</v>
      </c>
      <c r="BQ54">
        <f t="shared" si="51"/>
        <v>8</v>
      </c>
      <c r="BU54" s="8"/>
      <c r="BW54" s="2">
        <f>BN55/BN54</f>
        <v>16.75</v>
      </c>
      <c r="BX54" s="2">
        <v>0</v>
      </c>
      <c r="BY54" s="2">
        <v>0</v>
      </c>
      <c r="BZ54" s="5">
        <f>BQ55/BQ54</f>
        <v>16.75</v>
      </c>
      <c r="CA54" s="2"/>
      <c r="CB54" s="2"/>
      <c r="CC54" s="2"/>
      <c r="CD54" s="5"/>
    </row>
    <row r="55" spans="4:82" ht="15.75">
      <c r="D55" t="s">
        <v>70</v>
      </c>
      <c r="E55">
        <v>10676</v>
      </c>
      <c r="G55">
        <v>2292</v>
      </c>
      <c r="H55">
        <v>159</v>
      </c>
      <c r="I55">
        <v>21</v>
      </c>
      <c r="J55">
        <v>209</v>
      </c>
      <c r="K55">
        <v>2641</v>
      </c>
      <c r="L55">
        <v>1372</v>
      </c>
      <c r="N55">
        <v>79</v>
      </c>
      <c r="O55">
        <v>1863</v>
      </c>
      <c r="P55">
        <v>171</v>
      </c>
      <c r="Q55">
        <v>1064</v>
      </c>
      <c r="R55">
        <v>42</v>
      </c>
      <c r="U55">
        <v>134</v>
      </c>
      <c r="X55">
        <v>629</v>
      </c>
      <c r="Y55">
        <f t="shared" si="46"/>
        <v>10676</v>
      </c>
      <c r="Z55">
        <f t="shared" si="47"/>
        <v>9913</v>
      </c>
      <c r="AB55" s="10">
        <v>60</v>
      </c>
      <c r="AC55" s="10"/>
      <c r="AD55" s="10"/>
      <c r="AE55" s="10"/>
      <c r="AF55" s="10"/>
      <c r="AG55" s="10"/>
      <c r="AQ55">
        <f>14+47</f>
        <v>61</v>
      </c>
      <c r="AT55">
        <v>12</v>
      </c>
      <c r="AX55">
        <v>1</v>
      </c>
      <c r="BN55">
        <f t="shared" si="48"/>
        <v>134</v>
      </c>
      <c r="BO55">
        <f t="shared" si="49"/>
        <v>0</v>
      </c>
      <c r="BP55">
        <f t="shared" si="50"/>
        <v>0</v>
      </c>
      <c r="BQ55">
        <f t="shared" si="51"/>
        <v>134</v>
      </c>
      <c r="BU55" s="8"/>
      <c r="BZ55" s="8"/>
      <c r="CD55" s="8"/>
    </row>
    <row r="56" spans="1:82" ht="15.75">
      <c r="A56" s="15" t="s">
        <v>125</v>
      </c>
      <c r="B56" t="s">
        <v>126</v>
      </c>
      <c r="C56" t="s">
        <v>127</v>
      </c>
      <c r="D56" t="s">
        <v>68</v>
      </c>
      <c r="E56">
        <v>2250</v>
      </c>
      <c r="G56">
        <v>459</v>
      </c>
      <c r="H56">
        <v>135</v>
      </c>
      <c r="I56">
        <v>18</v>
      </c>
      <c r="J56">
        <v>67</v>
      </c>
      <c r="K56">
        <v>20</v>
      </c>
      <c r="L56">
        <v>11</v>
      </c>
      <c r="M56">
        <v>7</v>
      </c>
      <c r="N56">
        <v>38</v>
      </c>
      <c r="O56">
        <v>638</v>
      </c>
      <c r="P56">
        <v>320</v>
      </c>
      <c r="Q56">
        <v>80</v>
      </c>
      <c r="R56">
        <v>198</v>
      </c>
      <c r="S56">
        <v>25</v>
      </c>
      <c r="T56">
        <v>1</v>
      </c>
      <c r="U56">
        <v>144</v>
      </c>
      <c r="V56">
        <v>7</v>
      </c>
      <c r="W56">
        <v>16</v>
      </c>
      <c r="X56">
        <v>66</v>
      </c>
      <c r="Y56">
        <f t="shared" si="46"/>
        <v>2250</v>
      </c>
      <c r="Z56">
        <f t="shared" si="47"/>
        <v>2017</v>
      </c>
      <c r="AB56" s="10">
        <f>3+3+16+7+2+24+2</f>
        <v>57</v>
      </c>
      <c r="AC56" s="10"/>
      <c r="AD56" s="10">
        <f>3+2+1</f>
        <v>6</v>
      </c>
      <c r="AE56" s="10">
        <f>1+2</f>
        <v>3</v>
      </c>
      <c r="AF56" s="10">
        <v>3</v>
      </c>
      <c r="AG56" s="10"/>
      <c r="AH56">
        <v>1</v>
      </c>
      <c r="AJ56">
        <v>2</v>
      </c>
      <c r="AK56">
        <f>1+3</f>
        <v>4</v>
      </c>
      <c r="AL56">
        <f>2+5+6</f>
        <v>13</v>
      </c>
      <c r="AM56">
        <f>1+2+1</f>
        <v>4</v>
      </c>
      <c r="AN56">
        <v>5</v>
      </c>
      <c r="AO56">
        <f>1+1</f>
        <v>2</v>
      </c>
      <c r="AP56">
        <f>2+11+3+1+5</f>
        <v>22</v>
      </c>
      <c r="AQ56">
        <f>1+2</f>
        <v>3</v>
      </c>
      <c r="AR56">
        <f>2+1+1</f>
        <v>4</v>
      </c>
      <c r="AS56">
        <f>2+1+1+2</f>
        <v>6</v>
      </c>
      <c r="AU56">
        <v>1</v>
      </c>
      <c r="AX56">
        <f>1+1+2</f>
        <v>4</v>
      </c>
      <c r="BA56">
        <f>2+1</f>
        <v>3</v>
      </c>
      <c r="BC56">
        <v>1</v>
      </c>
      <c r="BD56">
        <f>1+5</f>
        <v>6</v>
      </c>
      <c r="BE56">
        <v>1</v>
      </c>
      <c r="BH56">
        <v>6</v>
      </c>
      <c r="BI56">
        <f>1+1+1</f>
        <v>3</v>
      </c>
      <c r="BK56">
        <v>1</v>
      </c>
      <c r="BL56">
        <f>2+4</f>
        <v>6</v>
      </c>
      <c r="BN56">
        <f t="shared" si="48"/>
        <v>144</v>
      </c>
      <c r="BO56">
        <f t="shared" si="49"/>
        <v>7</v>
      </c>
      <c r="BP56">
        <f t="shared" si="50"/>
        <v>16</v>
      </c>
      <c r="BQ56">
        <f t="shared" si="51"/>
        <v>167</v>
      </c>
      <c r="BU56" s="8"/>
      <c r="BW56" s="2">
        <f>BN57/BN56</f>
        <v>19.90972222222222</v>
      </c>
      <c r="BX56" s="2">
        <f>BO57/BO56</f>
        <v>5.857142857142857</v>
      </c>
      <c r="BY56" s="2">
        <f>BP57/BP56</f>
        <v>8.5625</v>
      </c>
      <c r="BZ56" s="5">
        <f>BQ57/BQ56</f>
        <v>18.233532934131738</v>
      </c>
      <c r="CA56" s="2"/>
      <c r="CB56" s="2"/>
      <c r="CC56" s="2"/>
      <c r="CD56" s="5"/>
    </row>
    <row r="57" spans="4:82" ht="15.75">
      <c r="D57" t="s">
        <v>70</v>
      </c>
      <c r="E57">
        <v>26909</v>
      </c>
      <c r="G57">
        <v>11139</v>
      </c>
      <c r="H57">
        <v>1446</v>
      </c>
      <c r="I57">
        <v>111</v>
      </c>
      <c r="J57">
        <v>546</v>
      </c>
      <c r="K57">
        <v>83</v>
      </c>
      <c r="L57">
        <v>103</v>
      </c>
      <c r="M57">
        <v>282</v>
      </c>
      <c r="N57">
        <v>277</v>
      </c>
      <c r="O57">
        <v>4979</v>
      </c>
      <c r="P57">
        <v>2782</v>
      </c>
      <c r="Q57">
        <v>376</v>
      </c>
      <c r="R57">
        <v>1134</v>
      </c>
      <c r="S57">
        <v>143</v>
      </c>
      <c r="T57">
        <v>39</v>
      </c>
      <c r="U57">
        <v>2867</v>
      </c>
      <c r="V57">
        <v>41</v>
      </c>
      <c r="W57">
        <v>137</v>
      </c>
      <c r="X57">
        <v>504</v>
      </c>
      <c r="Y57">
        <f t="shared" si="46"/>
        <v>26989</v>
      </c>
      <c r="Z57">
        <f t="shared" si="47"/>
        <v>23440</v>
      </c>
      <c r="AB57" s="10">
        <f>128+865+625+150+11+227+44</f>
        <v>2050</v>
      </c>
      <c r="AC57" s="10"/>
      <c r="AD57" s="10">
        <f>16+26+2</f>
        <v>44</v>
      </c>
      <c r="AE57" s="10">
        <f>9+40</f>
        <v>49</v>
      </c>
      <c r="AF57" s="10">
        <v>53</v>
      </c>
      <c r="AG57" s="10"/>
      <c r="AH57">
        <v>6</v>
      </c>
      <c r="AJ57">
        <v>8</v>
      </c>
      <c r="AK57">
        <f>3+56</f>
        <v>59</v>
      </c>
      <c r="AL57">
        <f>19+90+68</f>
        <v>177</v>
      </c>
      <c r="AM57">
        <f>13+33+2</f>
        <v>48</v>
      </c>
      <c r="AN57">
        <v>35</v>
      </c>
      <c r="AO57">
        <f>14+6</f>
        <v>20</v>
      </c>
      <c r="AP57">
        <f>9+117+4+6+31</f>
        <v>167</v>
      </c>
      <c r="AQ57">
        <f>13+58</f>
        <v>71</v>
      </c>
      <c r="AR57">
        <f>32+6+2</f>
        <v>40</v>
      </c>
      <c r="AS57">
        <f>2+2+3+4</f>
        <v>11</v>
      </c>
      <c r="AU57">
        <v>2</v>
      </c>
      <c r="AX57">
        <f>13+1+2</f>
        <v>16</v>
      </c>
      <c r="BA57">
        <f>4+2</f>
        <v>6</v>
      </c>
      <c r="BC57">
        <v>5</v>
      </c>
      <c r="BD57">
        <f>14+21</f>
        <v>35</v>
      </c>
      <c r="BE57">
        <v>6</v>
      </c>
      <c r="BH57">
        <v>57</v>
      </c>
      <c r="BI57">
        <f>19+4+7</f>
        <v>30</v>
      </c>
      <c r="BK57">
        <v>8</v>
      </c>
      <c r="BL57">
        <f>10+32</f>
        <v>42</v>
      </c>
      <c r="BN57">
        <f t="shared" si="48"/>
        <v>2867</v>
      </c>
      <c r="BO57">
        <f t="shared" si="49"/>
        <v>41</v>
      </c>
      <c r="BP57">
        <f t="shared" si="50"/>
        <v>137</v>
      </c>
      <c r="BQ57">
        <f t="shared" si="51"/>
        <v>3045</v>
      </c>
      <c r="BU57" s="8"/>
      <c r="BZ57" s="8"/>
      <c r="CD57" s="8"/>
    </row>
    <row r="58" spans="1:256" ht="15.75">
      <c r="A58" s="14"/>
      <c r="B58" s="3" t="s">
        <v>128</v>
      </c>
      <c r="C58" s="3"/>
      <c r="D58" s="3" t="s">
        <v>68</v>
      </c>
      <c r="E58" s="3">
        <f>E44+E48+E54+E56</f>
        <v>12155</v>
      </c>
      <c r="F58" s="3"/>
      <c r="G58" s="3">
        <f aca="true" t="shared" si="56" ref="G58:Z58">G44+G48+G54+G56</f>
        <v>1517</v>
      </c>
      <c r="H58" s="3">
        <f t="shared" si="56"/>
        <v>815</v>
      </c>
      <c r="I58" s="3">
        <f t="shared" si="56"/>
        <v>125</v>
      </c>
      <c r="J58" s="3">
        <f t="shared" si="56"/>
        <v>563</v>
      </c>
      <c r="K58" s="3">
        <f t="shared" si="56"/>
        <v>139</v>
      </c>
      <c r="L58" s="3">
        <f t="shared" si="56"/>
        <v>178</v>
      </c>
      <c r="M58" s="3">
        <f t="shared" si="56"/>
        <v>254</v>
      </c>
      <c r="N58" s="3">
        <f t="shared" si="56"/>
        <v>270</v>
      </c>
      <c r="O58" s="3">
        <f t="shared" si="56"/>
        <v>2142</v>
      </c>
      <c r="P58" s="3">
        <f t="shared" si="56"/>
        <v>1018</v>
      </c>
      <c r="Q58" s="3">
        <f t="shared" si="56"/>
        <v>223</v>
      </c>
      <c r="R58" s="3">
        <f t="shared" si="56"/>
        <v>997</v>
      </c>
      <c r="S58" s="3">
        <f t="shared" si="56"/>
        <v>63</v>
      </c>
      <c r="T58" s="3">
        <f t="shared" si="56"/>
        <v>525</v>
      </c>
      <c r="U58" s="3">
        <f t="shared" si="56"/>
        <v>2021</v>
      </c>
      <c r="V58" s="3">
        <f t="shared" si="56"/>
        <v>121</v>
      </c>
      <c r="W58" s="3">
        <f t="shared" si="56"/>
        <v>173</v>
      </c>
      <c r="X58" s="3">
        <f t="shared" si="56"/>
        <v>1011</v>
      </c>
      <c r="Y58" s="3">
        <f t="shared" si="56"/>
        <v>12155</v>
      </c>
      <c r="Z58" s="3">
        <f t="shared" si="56"/>
        <v>8829</v>
      </c>
      <c r="AA58" s="3"/>
      <c r="AB58" s="12">
        <f>AB44+AB46+AB48+AB50+AB52+AB54+AB56</f>
        <v>145</v>
      </c>
      <c r="AC58" s="12"/>
      <c r="AD58" s="12">
        <f aca="true" t="shared" si="57" ref="AD58:BQ58">AD44+AD46+AD48+AD50+AD52+AD54+AD56</f>
        <v>71</v>
      </c>
      <c r="AE58" s="12">
        <f t="shared" si="57"/>
        <v>49</v>
      </c>
      <c r="AF58" s="12">
        <f t="shared" si="57"/>
        <v>81</v>
      </c>
      <c r="AG58" s="12">
        <f t="shared" si="57"/>
        <v>71</v>
      </c>
      <c r="AH58" s="12">
        <f t="shared" si="57"/>
        <v>31</v>
      </c>
      <c r="AI58" s="12">
        <f t="shared" si="57"/>
        <v>178</v>
      </c>
      <c r="AJ58" s="12">
        <f t="shared" si="57"/>
        <v>89</v>
      </c>
      <c r="AK58" s="12">
        <f t="shared" si="57"/>
        <v>61</v>
      </c>
      <c r="AL58" s="12">
        <f t="shared" si="57"/>
        <v>84</v>
      </c>
      <c r="AM58" s="12">
        <f t="shared" si="57"/>
        <v>56</v>
      </c>
      <c r="AN58" s="12">
        <f t="shared" si="57"/>
        <v>59</v>
      </c>
      <c r="AO58" s="12">
        <f t="shared" si="57"/>
        <v>95</v>
      </c>
      <c r="AP58" s="12">
        <f t="shared" si="57"/>
        <v>109</v>
      </c>
      <c r="AQ58" s="12">
        <f t="shared" si="57"/>
        <v>75</v>
      </c>
      <c r="AR58" s="12">
        <f t="shared" si="57"/>
        <v>56</v>
      </c>
      <c r="AS58" s="12">
        <f t="shared" si="57"/>
        <v>51</v>
      </c>
      <c r="AT58" s="12">
        <f t="shared" si="57"/>
        <v>81</v>
      </c>
      <c r="AU58" s="12">
        <f t="shared" si="57"/>
        <v>69</v>
      </c>
      <c r="AV58" s="12">
        <f t="shared" si="57"/>
        <v>70</v>
      </c>
      <c r="AW58" s="12">
        <f t="shared" si="57"/>
        <v>44</v>
      </c>
      <c r="AX58" s="12">
        <f t="shared" si="57"/>
        <v>25</v>
      </c>
      <c r="AY58" s="12">
        <f t="shared" si="57"/>
        <v>28</v>
      </c>
      <c r="AZ58" s="12">
        <f t="shared" si="57"/>
        <v>20</v>
      </c>
      <c r="BA58" s="12">
        <f t="shared" si="57"/>
        <v>71</v>
      </c>
      <c r="BB58" s="12">
        <f t="shared" si="57"/>
        <v>160</v>
      </c>
      <c r="BC58" s="12">
        <f t="shared" si="57"/>
        <v>94</v>
      </c>
      <c r="BD58" s="12">
        <f t="shared" si="57"/>
        <v>37</v>
      </c>
      <c r="BE58" s="12">
        <f t="shared" si="57"/>
        <v>17</v>
      </c>
      <c r="BF58" s="12">
        <f t="shared" si="57"/>
        <v>10</v>
      </c>
      <c r="BG58" s="12">
        <f t="shared" si="57"/>
        <v>57</v>
      </c>
      <c r="BH58" s="12">
        <f t="shared" si="57"/>
        <v>47</v>
      </c>
      <c r="BI58" s="12">
        <f t="shared" si="57"/>
        <v>34</v>
      </c>
      <c r="BJ58" s="12">
        <f t="shared" si="57"/>
        <v>21</v>
      </c>
      <c r="BK58" s="12">
        <f t="shared" si="57"/>
        <v>29</v>
      </c>
      <c r="BL58" s="12">
        <f t="shared" si="57"/>
        <v>25</v>
      </c>
      <c r="BM58" s="12">
        <f t="shared" si="57"/>
        <v>17</v>
      </c>
      <c r="BN58" s="12">
        <f t="shared" si="57"/>
        <v>2023</v>
      </c>
      <c r="BO58" s="12">
        <f t="shared" si="57"/>
        <v>121</v>
      </c>
      <c r="BP58" s="12">
        <f t="shared" si="57"/>
        <v>173</v>
      </c>
      <c r="BQ58" s="12">
        <f t="shared" si="57"/>
        <v>2317</v>
      </c>
      <c r="BR58" s="3"/>
      <c r="BS58" s="3"/>
      <c r="BT58" s="3"/>
      <c r="BU58" s="4"/>
      <c r="BV58" s="3"/>
      <c r="BW58" s="3"/>
      <c r="BX58" s="3"/>
      <c r="BY58" s="3"/>
      <c r="BZ58" s="4"/>
      <c r="CA58" s="3"/>
      <c r="CB58" s="3"/>
      <c r="CC58" s="3"/>
      <c r="CD58" s="4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14"/>
      <c r="B59" s="3"/>
      <c r="C59" s="3"/>
      <c r="D59" s="3" t="s">
        <v>70</v>
      </c>
      <c r="E59" s="3">
        <f>E45+E49+E55+E57</f>
        <v>337147</v>
      </c>
      <c r="F59" s="3"/>
      <c r="G59" s="3">
        <f aca="true" t="shared" si="58" ref="G59:Z59">G45+G49+G55+G57</f>
        <v>117669</v>
      </c>
      <c r="H59" s="3">
        <f t="shared" si="58"/>
        <v>9472</v>
      </c>
      <c r="I59" s="3">
        <f t="shared" si="58"/>
        <v>3149</v>
      </c>
      <c r="J59" s="3">
        <f t="shared" si="58"/>
        <v>10984</v>
      </c>
      <c r="K59" s="3">
        <f t="shared" si="58"/>
        <v>6036</v>
      </c>
      <c r="L59" s="3">
        <f t="shared" si="58"/>
        <v>3550</v>
      </c>
      <c r="M59" s="3">
        <f t="shared" si="58"/>
        <v>18838</v>
      </c>
      <c r="N59" s="3">
        <f t="shared" si="58"/>
        <v>5239</v>
      </c>
      <c r="O59" s="3">
        <f t="shared" si="58"/>
        <v>48323</v>
      </c>
      <c r="P59" s="3">
        <f t="shared" si="58"/>
        <v>16492</v>
      </c>
      <c r="Q59" s="3">
        <f t="shared" si="58"/>
        <v>7513</v>
      </c>
      <c r="R59" s="3">
        <f t="shared" si="58"/>
        <v>15222</v>
      </c>
      <c r="S59" s="3">
        <f t="shared" si="58"/>
        <v>1459</v>
      </c>
      <c r="T59" s="3">
        <f t="shared" si="58"/>
        <v>4264</v>
      </c>
      <c r="U59" s="3">
        <f t="shared" si="58"/>
        <v>37050</v>
      </c>
      <c r="V59" s="3">
        <f t="shared" si="58"/>
        <v>2689</v>
      </c>
      <c r="W59" s="3">
        <f t="shared" si="58"/>
        <v>4420</v>
      </c>
      <c r="X59" s="3">
        <f t="shared" si="58"/>
        <v>24858</v>
      </c>
      <c r="Y59" s="3">
        <f t="shared" si="58"/>
        <v>337227</v>
      </c>
      <c r="Z59" s="3">
        <f t="shared" si="58"/>
        <v>268210</v>
      </c>
      <c r="AA59" s="3"/>
      <c r="AB59" s="12">
        <f>AB45+AB47+AB49+AB51+AB53+AB55+AB57</f>
        <v>8459</v>
      </c>
      <c r="AC59" s="12"/>
      <c r="AD59" s="12">
        <f aca="true" t="shared" si="59" ref="AD59:BQ59">AD45+AD47+AD49+AD51+AD53+AD55+AD57</f>
        <v>1289</v>
      </c>
      <c r="AE59" s="12">
        <f t="shared" si="59"/>
        <v>1284</v>
      </c>
      <c r="AF59" s="12">
        <f t="shared" si="59"/>
        <v>1425</v>
      </c>
      <c r="AG59" s="12">
        <f t="shared" si="59"/>
        <v>1348</v>
      </c>
      <c r="AH59" s="12">
        <f t="shared" si="59"/>
        <v>484</v>
      </c>
      <c r="AI59" s="12">
        <f t="shared" si="59"/>
        <v>3636</v>
      </c>
      <c r="AJ59" s="12">
        <f t="shared" si="59"/>
        <v>1153</v>
      </c>
      <c r="AK59" s="12">
        <f t="shared" si="59"/>
        <v>1431</v>
      </c>
      <c r="AL59" s="12">
        <f t="shared" si="59"/>
        <v>1611</v>
      </c>
      <c r="AM59" s="12">
        <f t="shared" si="59"/>
        <v>1276</v>
      </c>
      <c r="AN59" s="12">
        <f t="shared" si="59"/>
        <v>771</v>
      </c>
      <c r="AO59" s="12">
        <f t="shared" si="59"/>
        <v>1761</v>
      </c>
      <c r="AP59" s="12">
        <f t="shared" si="59"/>
        <v>2012</v>
      </c>
      <c r="AQ59" s="12">
        <f t="shared" si="59"/>
        <v>1247</v>
      </c>
      <c r="AR59" s="12">
        <f t="shared" si="59"/>
        <v>713</v>
      </c>
      <c r="AS59" s="12">
        <f t="shared" si="59"/>
        <v>414</v>
      </c>
      <c r="AT59" s="12">
        <f t="shared" si="59"/>
        <v>931</v>
      </c>
      <c r="AU59" s="12">
        <f t="shared" si="59"/>
        <v>685</v>
      </c>
      <c r="AV59" s="12">
        <f t="shared" si="59"/>
        <v>532</v>
      </c>
      <c r="AW59" s="12">
        <f t="shared" si="59"/>
        <v>559</v>
      </c>
      <c r="AX59" s="12">
        <f t="shared" si="59"/>
        <v>389</v>
      </c>
      <c r="AY59" s="12">
        <f t="shared" si="59"/>
        <v>698</v>
      </c>
      <c r="AZ59" s="12">
        <f t="shared" si="59"/>
        <v>255</v>
      </c>
      <c r="BA59" s="12">
        <f t="shared" si="59"/>
        <v>488</v>
      </c>
      <c r="BB59" s="12">
        <f t="shared" si="59"/>
        <v>1695</v>
      </c>
      <c r="BC59" s="12">
        <f t="shared" si="59"/>
        <v>579</v>
      </c>
      <c r="BD59" s="12">
        <f t="shared" si="59"/>
        <v>689</v>
      </c>
      <c r="BE59" s="12">
        <f t="shared" si="59"/>
        <v>370</v>
      </c>
      <c r="BF59" s="12">
        <f t="shared" si="59"/>
        <v>670</v>
      </c>
      <c r="BG59" s="12">
        <f t="shared" si="59"/>
        <v>960</v>
      </c>
      <c r="BH59" s="12">
        <f t="shared" si="59"/>
        <v>2023</v>
      </c>
      <c r="BI59" s="12">
        <f t="shared" si="59"/>
        <v>557</v>
      </c>
      <c r="BJ59" s="12">
        <f t="shared" si="59"/>
        <v>318</v>
      </c>
      <c r="BK59" s="12">
        <f t="shared" si="59"/>
        <v>527</v>
      </c>
      <c r="BL59" s="12">
        <f t="shared" si="59"/>
        <v>618</v>
      </c>
      <c r="BM59" s="12">
        <f t="shared" si="59"/>
        <v>377</v>
      </c>
      <c r="BN59" s="12">
        <f t="shared" si="59"/>
        <v>37125</v>
      </c>
      <c r="BO59" s="12">
        <f t="shared" si="59"/>
        <v>2689</v>
      </c>
      <c r="BP59" s="12">
        <f t="shared" si="59"/>
        <v>4420</v>
      </c>
      <c r="BQ59" s="12">
        <f t="shared" si="59"/>
        <v>44234</v>
      </c>
      <c r="BR59" s="3"/>
      <c r="BS59" s="3"/>
      <c r="BT59" s="3"/>
      <c r="BU59" s="4"/>
      <c r="BV59" s="3"/>
      <c r="BW59" s="3"/>
      <c r="BX59" s="3"/>
      <c r="BY59" s="3"/>
      <c r="BZ59" s="4"/>
      <c r="CA59" s="3"/>
      <c r="CB59" s="3"/>
      <c r="CC59" s="3"/>
      <c r="CD59" s="4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>
      <c r="A60" s="14"/>
      <c r="B60" s="3"/>
      <c r="C60" s="3"/>
      <c r="D60" s="3"/>
      <c r="E60" s="6">
        <f>E59/E58</f>
        <v>27.737309749074456</v>
      </c>
      <c r="F60" s="3"/>
      <c r="G60" s="6">
        <f aca="true" t="shared" si="60" ref="G60:Z60">G59/G58</f>
        <v>77.56690837178643</v>
      </c>
      <c r="H60" s="6">
        <f t="shared" si="60"/>
        <v>11.622085889570553</v>
      </c>
      <c r="I60" s="6">
        <f t="shared" si="60"/>
        <v>25.192</v>
      </c>
      <c r="J60" s="6">
        <f t="shared" si="60"/>
        <v>19.509769094138544</v>
      </c>
      <c r="K60" s="6">
        <f t="shared" si="60"/>
        <v>43.42446043165467</v>
      </c>
      <c r="L60" s="6">
        <f t="shared" si="60"/>
        <v>19.9438202247191</v>
      </c>
      <c r="M60" s="6">
        <f t="shared" si="60"/>
        <v>74.16535433070867</v>
      </c>
      <c r="N60" s="6">
        <f t="shared" si="60"/>
        <v>19.403703703703705</v>
      </c>
      <c r="O60" s="6">
        <f t="shared" si="60"/>
        <v>22.559757236227824</v>
      </c>
      <c r="P60" s="6">
        <f t="shared" si="60"/>
        <v>16.20039292730845</v>
      </c>
      <c r="Q60" s="6">
        <f t="shared" si="60"/>
        <v>33.690582959641254</v>
      </c>
      <c r="R60" s="6">
        <f t="shared" si="60"/>
        <v>15.267803410230693</v>
      </c>
      <c r="S60" s="6">
        <f t="shared" si="60"/>
        <v>23.158730158730158</v>
      </c>
      <c r="T60" s="6">
        <f t="shared" si="60"/>
        <v>8.121904761904762</v>
      </c>
      <c r="U60" s="6">
        <f t="shared" si="60"/>
        <v>18.332508659079664</v>
      </c>
      <c r="V60" s="6">
        <f t="shared" si="60"/>
        <v>22.223140495867767</v>
      </c>
      <c r="W60" s="6">
        <f t="shared" si="60"/>
        <v>25.54913294797688</v>
      </c>
      <c r="X60" s="6">
        <f t="shared" si="60"/>
        <v>24.587537091988132</v>
      </c>
      <c r="Y60" s="6">
        <f t="shared" si="60"/>
        <v>27.743891402714933</v>
      </c>
      <c r="Z60" s="6">
        <f t="shared" si="60"/>
        <v>30.37829878808472</v>
      </c>
      <c r="AA60" s="3"/>
      <c r="AB60" s="6">
        <f>AB59/AB58</f>
        <v>58.33793103448276</v>
      </c>
      <c r="AC60" s="12"/>
      <c r="AD60" s="6">
        <f aca="true" t="shared" si="61" ref="AD60:BQ60">AD59/AD58</f>
        <v>18.154929577464788</v>
      </c>
      <c r="AE60" s="6">
        <f t="shared" si="61"/>
        <v>26.20408163265306</v>
      </c>
      <c r="AF60" s="6">
        <f t="shared" si="61"/>
        <v>17.59259259259259</v>
      </c>
      <c r="AG60" s="6">
        <f t="shared" si="61"/>
        <v>18.985915492957748</v>
      </c>
      <c r="AH60" s="6">
        <f t="shared" si="61"/>
        <v>15.612903225806452</v>
      </c>
      <c r="AI60" s="6">
        <f t="shared" si="61"/>
        <v>20.426966292134832</v>
      </c>
      <c r="AJ60" s="6">
        <f t="shared" si="61"/>
        <v>12.955056179775282</v>
      </c>
      <c r="AK60" s="6">
        <f t="shared" si="61"/>
        <v>23.459016393442624</v>
      </c>
      <c r="AL60" s="6">
        <f t="shared" si="61"/>
        <v>19.178571428571427</v>
      </c>
      <c r="AM60" s="6">
        <f t="shared" si="61"/>
        <v>22.785714285714285</v>
      </c>
      <c r="AN60" s="6">
        <f t="shared" si="61"/>
        <v>13.067796610169491</v>
      </c>
      <c r="AO60" s="6">
        <f t="shared" si="61"/>
        <v>18.53684210526316</v>
      </c>
      <c r="AP60" s="6">
        <f t="shared" si="61"/>
        <v>18.458715596330276</v>
      </c>
      <c r="AQ60" s="6">
        <f t="shared" si="61"/>
        <v>16.626666666666665</v>
      </c>
      <c r="AR60" s="6">
        <f t="shared" si="61"/>
        <v>12.732142857142858</v>
      </c>
      <c r="AS60" s="6">
        <f t="shared" si="61"/>
        <v>8.117647058823529</v>
      </c>
      <c r="AT60" s="6">
        <f t="shared" si="61"/>
        <v>11.493827160493828</v>
      </c>
      <c r="AU60" s="6">
        <f t="shared" si="61"/>
        <v>9.927536231884059</v>
      </c>
      <c r="AV60" s="6">
        <f t="shared" si="61"/>
        <v>7.6</v>
      </c>
      <c r="AW60" s="6">
        <f t="shared" si="61"/>
        <v>12.704545454545455</v>
      </c>
      <c r="AX60" s="6">
        <f t="shared" si="61"/>
        <v>15.56</v>
      </c>
      <c r="AY60" s="6">
        <f t="shared" si="61"/>
        <v>24.928571428571427</v>
      </c>
      <c r="AZ60" s="6">
        <f t="shared" si="61"/>
        <v>12.75</v>
      </c>
      <c r="BA60" s="6">
        <f t="shared" si="61"/>
        <v>6.873239436619718</v>
      </c>
      <c r="BB60" s="6">
        <f t="shared" si="61"/>
        <v>10.59375</v>
      </c>
      <c r="BC60" s="6">
        <f t="shared" si="61"/>
        <v>6.159574468085107</v>
      </c>
      <c r="BD60" s="6">
        <f t="shared" si="61"/>
        <v>18.62162162162162</v>
      </c>
      <c r="BE60" s="6">
        <f t="shared" si="61"/>
        <v>21.764705882352942</v>
      </c>
      <c r="BF60" s="6">
        <f t="shared" si="61"/>
        <v>67</v>
      </c>
      <c r="BG60" s="6">
        <f t="shared" si="61"/>
        <v>16.842105263157894</v>
      </c>
      <c r="BH60" s="6">
        <f t="shared" si="61"/>
        <v>43.04255319148936</v>
      </c>
      <c r="BI60" s="6">
        <f t="shared" si="61"/>
        <v>16.38235294117647</v>
      </c>
      <c r="BJ60" s="6">
        <f t="shared" si="61"/>
        <v>15.142857142857142</v>
      </c>
      <c r="BK60" s="6">
        <f t="shared" si="61"/>
        <v>18.17241379310345</v>
      </c>
      <c r="BL60" s="6">
        <f t="shared" si="61"/>
        <v>24.72</v>
      </c>
      <c r="BM60" s="6">
        <f t="shared" si="61"/>
        <v>22.176470588235293</v>
      </c>
      <c r="BN60" s="6">
        <f t="shared" si="61"/>
        <v>18.351458230350964</v>
      </c>
      <c r="BO60" s="6">
        <f t="shared" si="61"/>
        <v>22.223140495867767</v>
      </c>
      <c r="BP60" s="6">
        <f t="shared" si="61"/>
        <v>25.54913294797688</v>
      </c>
      <c r="BQ60" s="6">
        <f t="shared" si="61"/>
        <v>19.09106603366422</v>
      </c>
      <c r="BR60" s="3"/>
      <c r="BS60" s="3"/>
      <c r="BT60" s="3"/>
      <c r="BU60" s="4"/>
      <c r="BV60" s="3"/>
      <c r="BW60" s="3"/>
      <c r="BX60" s="3"/>
      <c r="BY60" s="3"/>
      <c r="BZ60" s="4"/>
      <c r="CA60" s="3"/>
      <c r="CB60" s="3"/>
      <c r="CC60" s="3"/>
      <c r="CD60" s="4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28:82" ht="15.75">
      <c r="AB61" s="10"/>
      <c r="AC61" s="10"/>
      <c r="AD61" s="10"/>
      <c r="AE61" s="10"/>
      <c r="AF61" s="10"/>
      <c r="AG61" s="10"/>
      <c r="BU61" s="8"/>
      <c r="BZ61" s="8"/>
      <c r="CD61" s="8"/>
    </row>
    <row r="62" spans="1:82" ht="15.75">
      <c r="A62" s="15" t="s">
        <v>129</v>
      </c>
      <c r="B62" t="s">
        <v>130</v>
      </c>
      <c r="C62" t="s">
        <v>131</v>
      </c>
      <c r="D62" t="s">
        <v>68</v>
      </c>
      <c r="AB62" s="10">
        <v>16</v>
      </c>
      <c r="AC62" s="10"/>
      <c r="AD62" s="10">
        <f>2+1</f>
        <v>3</v>
      </c>
      <c r="AE62" s="10">
        <v>5</v>
      </c>
      <c r="AF62" s="10">
        <v>8</v>
      </c>
      <c r="AG62" s="10">
        <v>1</v>
      </c>
      <c r="AH62">
        <v>2</v>
      </c>
      <c r="AI62">
        <v>8</v>
      </c>
      <c r="AL62">
        <v>4</v>
      </c>
      <c r="AM62">
        <f>34+6</f>
        <v>40</v>
      </c>
      <c r="AN62">
        <v>1</v>
      </c>
      <c r="AO62">
        <v>7</v>
      </c>
      <c r="AP62">
        <f>7+1</f>
        <v>8</v>
      </c>
      <c r="AQ62">
        <f>4+3</f>
        <v>7</v>
      </c>
      <c r="AR62">
        <v>4</v>
      </c>
      <c r="AS62">
        <f>8+13</f>
        <v>21</v>
      </c>
      <c r="AT62">
        <v>4</v>
      </c>
      <c r="AV62">
        <v>2</v>
      </c>
      <c r="AY62">
        <v>5</v>
      </c>
      <c r="BA62">
        <v>4</v>
      </c>
      <c r="BC62">
        <v>3</v>
      </c>
      <c r="BD62">
        <v>5</v>
      </c>
      <c r="BE62">
        <v>4</v>
      </c>
      <c r="BG62">
        <v>6</v>
      </c>
      <c r="BH62">
        <v>5</v>
      </c>
      <c r="BI62">
        <v>2</v>
      </c>
      <c r="BL62">
        <v>2</v>
      </c>
      <c r="BN62">
        <f aca="true" t="shared" si="62" ref="BN62:BN67">SUM(AA62:BC62)</f>
        <v>153</v>
      </c>
      <c r="BO62">
        <f aca="true" t="shared" si="63" ref="BO62:BO67">SUM(BD62:BG62)</f>
        <v>15</v>
      </c>
      <c r="BP62">
        <f aca="true" t="shared" si="64" ref="BP62:BP67">SUM(BH62:BM62)</f>
        <v>9</v>
      </c>
      <c r="BQ62">
        <f aca="true" t="shared" si="65" ref="BQ62:BQ67">SUM(BN62:BP62)</f>
        <v>177</v>
      </c>
      <c r="BR62">
        <f aca="true" t="shared" si="66" ref="BR62:BU63">BN62+BN64</f>
        <v>989</v>
      </c>
      <c r="BS62">
        <f t="shared" si="66"/>
        <v>38</v>
      </c>
      <c r="BT62">
        <f t="shared" si="66"/>
        <v>111</v>
      </c>
      <c r="BU62">
        <f t="shared" si="66"/>
        <v>1138</v>
      </c>
      <c r="BZ62" s="8"/>
      <c r="CD62" s="8"/>
    </row>
    <row r="63" spans="4:82" ht="15.75">
      <c r="D63" t="s">
        <v>70</v>
      </c>
      <c r="AB63" s="10">
        <v>164</v>
      </c>
      <c r="AC63" s="10"/>
      <c r="AD63" s="10">
        <f>21+6</f>
        <v>27</v>
      </c>
      <c r="AE63" s="10">
        <v>7</v>
      </c>
      <c r="AF63" s="10">
        <v>61</v>
      </c>
      <c r="AG63" s="10">
        <v>12</v>
      </c>
      <c r="AH63">
        <v>18</v>
      </c>
      <c r="AI63">
        <v>203</v>
      </c>
      <c r="AL63">
        <v>38</v>
      </c>
      <c r="AM63">
        <f>199+30</f>
        <v>229</v>
      </c>
      <c r="AN63">
        <v>3</v>
      </c>
      <c r="AO63">
        <v>13</v>
      </c>
      <c r="AP63">
        <f>10+9</f>
        <v>19</v>
      </c>
      <c r="AQ63">
        <f>12+14</f>
        <v>26</v>
      </c>
      <c r="AR63">
        <v>7</v>
      </c>
      <c r="AS63">
        <f>19+8</f>
        <v>27</v>
      </c>
      <c r="AT63">
        <v>55</v>
      </c>
      <c r="AV63">
        <v>5</v>
      </c>
      <c r="AY63">
        <v>28</v>
      </c>
      <c r="BA63">
        <v>9</v>
      </c>
      <c r="BC63">
        <v>15</v>
      </c>
      <c r="BD63">
        <v>88</v>
      </c>
      <c r="BE63">
        <v>15</v>
      </c>
      <c r="BG63">
        <v>17</v>
      </c>
      <c r="BH63">
        <v>36</v>
      </c>
      <c r="BI63">
        <v>10</v>
      </c>
      <c r="BL63">
        <v>30</v>
      </c>
      <c r="BN63">
        <f t="shared" si="62"/>
        <v>966</v>
      </c>
      <c r="BO63">
        <f t="shared" si="63"/>
        <v>120</v>
      </c>
      <c r="BP63">
        <f t="shared" si="64"/>
        <v>76</v>
      </c>
      <c r="BQ63">
        <f t="shared" si="65"/>
        <v>1162</v>
      </c>
      <c r="BR63">
        <f t="shared" si="66"/>
        <v>11003</v>
      </c>
      <c r="BS63">
        <f t="shared" si="66"/>
        <v>382</v>
      </c>
      <c r="BT63">
        <f t="shared" si="66"/>
        <v>646</v>
      </c>
      <c r="BU63">
        <f t="shared" si="66"/>
        <v>12031</v>
      </c>
      <c r="BZ63" s="8"/>
      <c r="CD63" s="8"/>
    </row>
    <row r="64" spans="2:82" ht="15.75">
      <c r="B64" t="s">
        <v>132</v>
      </c>
      <c r="C64" t="s">
        <v>133</v>
      </c>
      <c r="D64" t="s">
        <v>68</v>
      </c>
      <c r="Y64">
        <f>SUM(G64:X64)</f>
        <v>0</v>
      </c>
      <c r="Z64">
        <f>SUM(G64:T64)</f>
        <v>0</v>
      </c>
      <c r="AB64" s="10">
        <v>154</v>
      </c>
      <c r="AC64" s="10"/>
      <c r="AD64" s="10">
        <v>64</v>
      </c>
      <c r="AE64" s="10">
        <v>25</v>
      </c>
      <c r="AF64" s="10"/>
      <c r="AG64" s="10">
        <v>33</v>
      </c>
      <c r="AH64">
        <v>49</v>
      </c>
      <c r="AI64">
        <v>86</v>
      </c>
      <c r="AK64">
        <v>45</v>
      </c>
      <c r="AL64">
        <v>38</v>
      </c>
      <c r="AM64">
        <v>31</v>
      </c>
      <c r="AN64">
        <v>17</v>
      </c>
      <c r="AO64">
        <v>38</v>
      </c>
      <c r="AP64">
        <v>50</v>
      </c>
      <c r="AQ64">
        <v>44</v>
      </c>
      <c r="AR64">
        <v>41</v>
      </c>
      <c r="AS64">
        <v>7</v>
      </c>
      <c r="AT64">
        <v>6</v>
      </c>
      <c r="AU64">
        <v>9</v>
      </c>
      <c r="AV64">
        <v>1</v>
      </c>
      <c r="AW64">
        <v>7</v>
      </c>
      <c r="AX64">
        <v>48</v>
      </c>
      <c r="AY64">
        <v>5</v>
      </c>
      <c r="AZ64">
        <v>23</v>
      </c>
      <c r="BA64">
        <v>8</v>
      </c>
      <c r="BB64">
        <v>4</v>
      </c>
      <c r="BC64">
        <v>3</v>
      </c>
      <c r="BD64">
        <v>1</v>
      </c>
      <c r="BF64">
        <v>22</v>
      </c>
      <c r="BH64">
        <v>60</v>
      </c>
      <c r="BI64">
        <v>1</v>
      </c>
      <c r="BJ64">
        <v>1</v>
      </c>
      <c r="BL64">
        <v>20</v>
      </c>
      <c r="BM64">
        <v>20</v>
      </c>
      <c r="BN64">
        <f t="shared" si="62"/>
        <v>836</v>
      </c>
      <c r="BO64">
        <f t="shared" si="63"/>
        <v>23</v>
      </c>
      <c r="BP64">
        <f t="shared" si="64"/>
        <v>102</v>
      </c>
      <c r="BQ64">
        <f t="shared" si="65"/>
        <v>961</v>
      </c>
      <c r="BU64" s="8"/>
      <c r="BZ64" s="8"/>
      <c r="CD64" s="8"/>
    </row>
    <row r="65" spans="4:82" ht="15.75">
      <c r="D65" t="s">
        <v>70</v>
      </c>
      <c r="Y65">
        <f>SUM(G65:X65)</f>
        <v>0</v>
      </c>
      <c r="Z65">
        <f>SUM(G65:T65)</f>
        <v>0</v>
      </c>
      <c r="AB65" s="10">
        <v>2436</v>
      </c>
      <c r="AC65" s="10"/>
      <c r="AD65" s="10">
        <v>416</v>
      </c>
      <c r="AE65" s="10">
        <v>294</v>
      </c>
      <c r="AF65" s="10"/>
      <c r="AG65" s="10">
        <v>321</v>
      </c>
      <c r="AH65">
        <v>191</v>
      </c>
      <c r="AI65">
        <v>2564</v>
      </c>
      <c r="AK65">
        <v>522</v>
      </c>
      <c r="AL65">
        <v>439</v>
      </c>
      <c r="AM65">
        <v>483</v>
      </c>
      <c r="AN65">
        <v>120</v>
      </c>
      <c r="AO65">
        <v>410</v>
      </c>
      <c r="AP65">
        <v>764</v>
      </c>
      <c r="AQ65">
        <v>453</v>
      </c>
      <c r="AR65">
        <v>116</v>
      </c>
      <c r="AS65">
        <v>20</v>
      </c>
      <c r="AT65">
        <v>29</v>
      </c>
      <c r="AU65">
        <v>43</v>
      </c>
      <c r="AV65">
        <v>4</v>
      </c>
      <c r="AW65">
        <v>15</v>
      </c>
      <c r="AX65">
        <v>183</v>
      </c>
      <c r="AY65">
        <v>69</v>
      </c>
      <c r="AZ65">
        <v>90</v>
      </c>
      <c r="BA65">
        <v>31</v>
      </c>
      <c r="BB65">
        <v>9</v>
      </c>
      <c r="BC65">
        <v>15</v>
      </c>
      <c r="BD65">
        <v>9</v>
      </c>
      <c r="BF65">
        <v>253</v>
      </c>
      <c r="BH65">
        <v>311</v>
      </c>
      <c r="BI65">
        <v>7</v>
      </c>
      <c r="BJ65">
        <v>23</v>
      </c>
      <c r="BL65">
        <v>89</v>
      </c>
      <c r="BM65">
        <v>140</v>
      </c>
      <c r="BN65">
        <f t="shared" si="62"/>
        <v>10037</v>
      </c>
      <c r="BO65">
        <f t="shared" si="63"/>
        <v>262</v>
      </c>
      <c r="BP65">
        <f t="shared" si="64"/>
        <v>570</v>
      </c>
      <c r="BQ65">
        <f t="shared" si="65"/>
        <v>10869</v>
      </c>
      <c r="BU65" s="8"/>
      <c r="BZ65" s="8"/>
      <c r="CD65" s="8"/>
    </row>
    <row r="66" spans="3:82" ht="15.75">
      <c r="C66" t="s">
        <v>134</v>
      </c>
      <c r="D66" t="s">
        <v>68</v>
      </c>
      <c r="E66">
        <v>5578</v>
      </c>
      <c r="G66">
        <v>716</v>
      </c>
      <c r="H66">
        <v>42</v>
      </c>
      <c r="I66">
        <v>44</v>
      </c>
      <c r="J66">
        <v>202</v>
      </c>
      <c r="K66">
        <v>27</v>
      </c>
      <c r="L66">
        <v>233</v>
      </c>
      <c r="M66">
        <v>4</v>
      </c>
      <c r="N66">
        <v>154</v>
      </c>
      <c r="O66">
        <v>1193</v>
      </c>
      <c r="P66">
        <v>896</v>
      </c>
      <c r="Q66">
        <v>69</v>
      </c>
      <c r="R66">
        <v>828</v>
      </c>
      <c r="S66">
        <v>1</v>
      </c>
      <c r="T66">
        <v>2</v>
      </c>
      <c r="U66">
        <v>989</v>
      </c>
      <c r="V66">
        <v>38</v>
      </c>
      <c r="W66">
        <v>111</v>
      </c>
      <c r="X66">
        <v>29</v>
      </c>
      <c r="Y66">
        <f>SUM(G66:X66)</f>
        <v>5578</v>
      </c>
      <c r="Z66">
        <f>SUM(G66:T66)</f>
        <v>4411</v>
      </c>
      <c r="AB66" s="10">
        <f>AB62+AB64</f>
        <v>170</v>
      </c>
      <c r="AC66" s="10"/>
      <c r="AD66" s="10">
        <f aca="true" t="shared" si="67" ref="AD66:BM66">AD62+AD64</f>
        <v>67</v>
      </c>
      <c r="AE66" s="10">
        <f t="shared" si="67"/>
        <v>30</v>
      </c>
      <c r="AF66" s="10">
        <f t="shared" si="67"/>
        <v>8</v>
      </c>
      <c r="AG66" s="10">
        <f t="shared" si="67"/>
        <v>34</v>
      </c>
      <c r="AH66" s="10">
        <f t="shared" si="67"/>
        <v>51</v>
      </c>
      <c r="AI66" s="10">
        <f t="shared" si="67"/>
        <v>94</v>
      </c>
      <c r="AJ66" s="10">
        <f t="shared" si="67"/>
        <v>0</v>
      </c>
      <c r="AK66" s="10">
        <f t="shared" si="67"/>
        <v>45</v>
      </c>
      <c r="AL66" s="10">
        <f t="shared" si="67"/>
        <v>42</v>
      </c>
      <c r="AM66" s="10">
        <f t="shared" si="67"/>
        <v>71</v>
      </c>
      <c r="AN66" s="10">
        <f t="shared" si="67"/>
        <v>18</v>
      </c>
      <c r="AO66" s="10">
        <f t="shared" si="67"/>
        <v>45</v>
      </c>
      <c r="AP66" s="10">
        <f t="shared" si="67"/>
        <v>58</v>
      </c>
      <c r="AQ66" s="10">
        <f t="shared" si="67"/>
        <v>51</v>
      </c>
      <c r="AR66" s="10">
        <f t="shared" si="67"/>
        <v>45</v>
      </c>
      <c r="AS66" s="10">
        <f t="shared" si="67"/>
        <v>28</v>
      </c>
      <c r="AT66" s="10">
        <f t="shared" si="67"/>
        <v>10</v>
      </c>
      <c r="AU66" s="10">
        <f t="shared" si="67"/>
        <v>9</v>
      </c>
      <c r="AV66" s="10">
        <f t="shared" si="67"/>
        <v>3</v>
      </c>
      <c r="AW66" s="10">
        <f t="shared" si="67"/>
        <v>7</v>
      </c>
      <c r="AX66" s="10">
        <f t="shared" si="67"/>
        <v>48</v>
      </c>
      <c r="AY66" s="10">
        <f t="shared" si="67"/>
        <v>10</v>
      </c>
      <c r="AZ66" s="10">
        <f t="shared" si="67"/>
        <v>23</v>
      </c>
      <c r="BA66" s="10">
        <f t="shared" si="67"/>
        <v>12</v>
      </c>
      <c r="BB66" s="10">
        <f t="shared" si="67"/>
        <v>4</v>
      </c>
      <c r="BC66" s="10">
        <f t="shared" si="67"/>
        <v>6</v>
      </c>
      <c r="BD66" s="10">
        <f t="shared" si="67"/>
        <v>6</v>
      </c>
      <c r="BE66" s="10">
        <f t="shared" si="67"/>
        <v>4</v>
      </c>
      <c r="BF66" s="10">
        <f t="shared" si="67"/>
        <v>22</v>
      </c>
      <c r="BG66" s="10">
        <f t="shared" si="67"/>
        <v>6</v>
      </c>
      <c r="BH66" s="10">
        <f t="shared" si="67"/>
        <v>65</v>
      </c>
      <c r="BI66" s="10">
        <f t="shared" si="67"/>
        <v>3</v>
      </c>
      <c r="BJ66" s="10">
        <f t="shared" si="67"/>
        <v>1</v>
      </c>
      <c r="BK66" s="10">
        <f t="shared" si="67"/>
        <v>0</v>
      </c>
      <c r="BL66" s="10">
        <f t="shared" si="67"/>
        <v>22</v>
      </c>
      <c r="BM66" s="10">
        <f t="shared" si="67"/>
        <v>20</v>
      </c>
      <c r="BN66">
        <f t="shared" si="62"/>
        <v>989</v>
      </c>
      <c r="BO66">
        <f t="shared" si="63"/>
        <v>38</v>
      </c>
      <c r="BP66">
        <f t="shared" si="64"/>
        <v>111</v>
      </c>
      <c r="BQ66">
        <f t="shared" si="65"/>
        <v>1138</v>
      </c>
      <c r="BU66" s="8"/>
      <c r="BZ66" s="8"/>
      <c r="CD66" s="8"/>
    </row>
    <row r="67" spans="4:82" ht="15.75">
      <c r="D67" t="s">
        <v>70</v>
      </c>
      <c r="E67">
        <v>55987</v>
      </c>
      <c r="G67">
        <v>21617</v>
      </c>
      <c r="H67">
        <v>436</v>
      </c>
      <c r="I67">
        <v>430</v>
      </c>
      <c r="J67">
        <v>2604</v>
      </c>
      <c r="K67">
        <v>252</v>
      </c>
      <c r="L67">
        <v>1370</v>
      </c>
      <c r="M67">
        <v>23</v>
      </c>
      <c r="N67">
        <v>317</v>
      </c>
      <c r="O67">
        <v>6775</v>
      </c>
      <c r="P67">
        <v>5665</v>
      </c>
      <c r="Q67">
        <v>345</v>
      </c>
      <c r="R67">
        <v>3925</v>
      </c>
      <c r="S67">
        <v>4</v>
      </c>
      <c r="T67">
        <v>39</v>
      </c>
      <c r="U67">
        <v>11003</v>
      </c>
      <c r="V67">
        <v>382</v>
      </c>
      <c r="W67">
        <v>646</v>
      </c>
      <c r="X67">
        <v>154</v>
      </c>
      <c r="Y67">
        <f>SUM(G67:X67)</f>
        <v>55987</v>
      </c>
      <c r="Z67">
        <f>SUM(G67:T67)</f>
        <v>43802</v>
      </c>
      <c r="AB67" s="10">
        <f>AB63+AB65</f>
        <v>2600</v>
      </c>
      <c r="AC67" s="10"/>
      <c r="AD67" s="10">
        <f aca="true" t="shared" si="68" ref="AD67:BM67">AD63+AD65</f>
        <v>443</v>
      </c>
      <c r="AE67" s="10">
        <f t="shared" si="68"/>
        <v>301</v>
      </c>
      <c r="AF67" s="10">
        <f t="shared" si="68"/>
        <v>61</v>
      </c>
      <c r="AG67" s="10">
        <f t="shared" si="68"/>
        <v>333</v>
      </c>
      <c r="AH67" s="10">
        <f t="shared" si="68"/>
        <v>209</v>
      </c>
      <c r="AI67" s="10">
        <f t="shared" si="68"/>
        <v>2767</v>
      </c>
      <c r="AJ67" s="10">
        <f t="shared" si="68"/>
        <v>0</v>
      </c>
      <c r="AK67" s="10">
        <f t="shared" si="68"/>
        <v>522</v>
      </c>
      <c r="AL67" s="10">
        <f t="shared" si="68"/>
        <v>477</v>
      </c>
      <c r="AM67" s="10">
        <f t="shared" si="68"/>
        <v>712</v>
      </c>
      <c r="AN67" s="10">
        <f t="shared" si="68"/>
        <v>123</v>
      </c>
      <c r="AO67" s="10">
        <f t="shared" si="68"/>
        <v>423</v>
      </c>
      <c r="AP67" s="10">
        <f t="shared" si="68"/>
        <v>783</v>
      </c>
      <c r="AQ67" s="10">
        <f t="shared" si="68"/>
        <v>479</v>
      </c>
      <c r="AR67" s="10">
        <f t="shared" si="68"/>
        <v>123</v>
      </c>
      <c r="AS67" s="10">
        <f t="shared" si="68"/>
        <v>47</v>
      </c>
      <c r="AT67" s="10">
        <f t="shared" si="68"/>
        <v>84</v>
      </c>
      <c r="AU67" s="10">
        <f t="shared" si="68"/>
        <v>43</v>
      </c>
      <c r="AV67" s="10">
        <f t="shared" si="68"/>
        <v>9</v>
      </c>
      <c r="AW67" s="10">
        <f t="shared" si="68"/>
        <v>15</v>
      </c>
      <c r="AX67" s="10">
        <f t="shared" si="68"/>
        <v>183</v>
      </c>
      <c r="AY67" s="10">
        <f t="shared" si="68"/>
        <v>97</v>
      </c>
      <c r="AZ67" s="10">
        <f t="shared" si="68"/>
        <v>90</v>
      </c>
      <c r="BA67" s="10">
        <f t="shared" si="68"/>
        <v>40</v>
      </c>
      <c r="BB67" s="10">
        <f t="shared" si="68"/>
        <v>9</v>
      </c>
      <c r="BC67" s="10">
        <f t="shared" si="68"/>
        <v>30</v>
      </c>
      <c r="BD67" s="10">
        <f t="shared" si="68"/>
        <v>97</v>
      </c>
      <c r="BE67" s="10">
        <f t="shared" si="68"/>
        <v>15</v>
      </c>
      <c r="BF67" s="10">
        <f t="shared" si="68"/>
        <v>253</v>
      </c>
      <c r="BG67" s="10">
        <f t="shared" si="68"/>
        <v>17</v>
      </c>
      <c r="BH67" s="10">
        <f t="shared" si="68"/>
        <v>347</v>
      </c>
      <c r="BI67" s="10">
        <f t="shared" si="68"/>
        <v>17</v>
      </c>
      <c r="BJ67" s="10">
        <f t="shared" si="68"/>
        <v>23</v>
      </c>
      <c r="BK67" s="10">
        <f t="shared" si="68"/>
        <v>0</v>
      </c>
      <c r="BL67" s="10">
        <f t="shared" si="68"/>
        <v>119</v>
      </c>
      <c r="BM67" s="10">
        <f t="shared" si="68"/>
        <v>140</v>
      </c>
      <c r="BN67">
        <f t="shared" si="62"/>
        <v>11003</v>
      </c>
      <c r="BO67">
        <f t="shared" si="63"/>
        <v>382</v>
      </c>
      <c r="BP67">
        <f t="shared" si="64"/>
        <v>646</v>
      </c>
      <c r="BQ67">
        <f t="shared" si="65"/>
        <v>12031</v>
      </c>
      <c r="BU67" s="8"/>
      <c r="BZ67" s="8"/>
      <c r="CD67" s="8"/>
    </row>
    <row r="68" spans="1:82" ht="15.75">
      <c r="A68" s="15" t="s">
        <v>135</v>
      </c>
      <c r="B68" t="s">
        <v>136</v>
      </c>
      <c r="C68" t="s">
        <v>137</v>
      </c>
      <c r="AB68" s="10"/>
      <c r="AC68" s="10"/>
      <c r="AD68" s="10"/>
      <c r="AE68" s="10"/>
      <c r="AF68" s="10"/>
      <c r="AG68" s="10"/>
      <c r="BU68" s="8"/>
      <c r="BZ68" s="8"/>
      <c r="CD68" s="8"/>
    </row>
    <row r="69" spans="2:82" ht="15.75">
      <c r="B69" t="s">
        <v>138</v>
      </c>
      <c r="C69" t="s">
        <v>139</v>
      </c>
      <c r="D69" t="s">
        <v>68</v>
      </c>
      <c r="AB69" s="10">
        <v>1</v>
      </c>
      <c r="AC69" s="10"/>
      <c r="AD69" s="10"/>
      <c r="AE69" s="10"/>
      <c r="AF69" s="10"/>
      <c r="AG69" s="10">
        <v>1</v>
      </c>
      <c r="BN69">
        <f aca="true" t="shared" si="69" ref="BN69:BN98">SUM(AA69:BC69)</f>
        <v>2</v>
      </c>
      <c r="BO69">
        <f aca="true" t="shared" si="70" ref="BO69:BO98">SUM(BD69:BG69)</f>
        <v>0</v>
      </c>
      <c r="BP69">
        <f aca="true" t="shared" si="71" ref="BP69:BP98">SUM(BH69:BM69)</f>
        <v>0</v>
      </c>
      <c r="BQ69">
        <f aca="true" t="shared" si="72" ref="BQ69:BQ98">SUM(BN69:BP69)</f>
        <v>2</v>
      </c>
      <c r="BU69" s="8"/>
      <c r="BZ69" s="8"/>
      <c r="CD69" s="8"/>
    </row>
    <row r="70" spans="4:82" ht="15.75">
      <c r="D70" t="s">
        <v>70</v>
      </c>
      <c r="AB70">
        <v>10</v>
      </c>
      <c r="AG70">
        <v>14</v>
      </c>
      <c r="BN70">
        <f t="shared" si="69"/>
        <v>24</v>
      </c>
      <c r="BO70">
        <f t="shared" si="70"/>
        <v>0</v>
      </c>
      <c r="BP70">
        <f t="shared" si="71"/>
        <v>0</v>
      </c>
      <c r="BQ70">
        <f t="shared" si="72"/>
        <v>24</v>
      </c>
      <c r="BU70" s="8"/>
      <c r="BZ70" s="8"/>
      <c r="CD70" s="8"/>
    </row>
    <row r="71" spans="2:82" ht="15.75">
      <c r="B71" t="s">
        <v>140</v>
      </c>
      <c r="C71" t="s">
        <v>141</v>
      </c>
      <c r="D71" t="s">
        <v>68</v>
      </c>
      <c r="Y71">
        <f>SUM(G71:X71)</f>
        <v>0</v>
      </c>
      <c r="Z71">
        <f>SUM(G71:T71)</f>
        <v>0</v>
      </c>
      <c r="AB71">
        <v>170</v>
      </c>
      <c r="AD71">
        <v>518</v>
      </c>
      <c r="AE71">
        <v>373</v>
      </c>
      <c r="AF71">
        <v>895</v>
      </c>
      <c r="AG71">
        <v>979</v>
      </c>
      <c r="AH71">
        <v>309</v>
      </c>
      <c r="AI71">
        <v>541</v>
      </c>
      <c r="AJ71">
        <v>568</v>
      </c>
      <c r="AK71">
        <v>637</v>
      </c>
      <c r="AL71">
        <v>428</v>
      </c>
      <c r="AM71">
        <v>483</v>
      </c>
      <c r="AN71">
        <v>667</v>
      </c>
      <c r="AO71">
        <v>1176</v>
      </c>
      <c r="AP71">
        <v>1114</v>
      </c>
      <c r="AQ71">
        <v>1022</v>
      </c>
      <c r="AR71">
        <v>592</v>
      </c>
      <c r="AS71">
        <v>641</v>
      </c>
      <c r="AT71">
        <v>143</v>
      </c>
      <c r="AU71">
        <v>256</v>
      </c>
      <c r="AV71">
        <v>367</v>
      </c>
      <c r="AW71">
        <v>387</v>
      </c>
      <c r="AX71">
        <v>2</v>
      </c>
      <c r="AY71">
        <f>524+1+107</f>
        <v>632</v>
      </c>
      <c r="AZ71">
        <v>551</v>
      </c>
      <c r="BA71">
        <v>551</v>
      </c>
      <c r="BB71">
        <v>1371</v>
      </c>
      <c r="BC71">
        <v>412</v>
      </c>
      <c r="BD71">
        <v>334</v>
      </c>
      <c r="BE71">
        <v>94</v>
      </c>
      <c r="BF71">
        <v>36</v>
      </c>
      <c r="BG71">
        <v>514</v>
      </c>
      <c r="BH71">
        <v>146</v>
      </c>
      <c r="BI71">
        <v>151</v>
      </c>
      <c r="BK71">
        <v>291</v>
      </c>
      <c r="BL71">
        <v>157</v>
      </c>
      <c r="BM71">
        <v>420</v>
      </c>
      <c r="BN71">
        <f t="shared" si="69"/>
        <v>15785</v>
      </c>
      <c r="BO71">
        <f t="shared" si="70"/>
        <v>978</v>
      </c>
      <c r="BP71">
        <f t="shared" si="71"/>
        <v>1165</v>
      </c>
      <c r="BQ71">
        <f t="shared" si="72"/>
        <v>17928</v>
      </c>
      <c r="BU71" s="8"/>
      <c r="BZ71" s="8"/>
      <c r="CD71" s="8"/>
    </row>
    <row r="72" spans="4:82" ht="15.75">
      <c r="D72" t="s">
        <v>70</v>
      </c>
      <c r="Y72">
        <f>SUM(G72:X72)</f>
        <v>0</v>
      </c>
      <c r="Z72">
        <f>SUM(G72:T72)</f>
        <v>0</v>
      </c>
      <c r="AB72">
        <v>3137</v>
      </c>
      <c r="AD72">
        <v>6980</v>
      </c>
      <c r="AE72">
        <v>10072</v>
      </c>
      <c r="AF72">
        <v>6199</v>
      </c>
      <c r="AG72">
        <v>10396</v>
      </c>
      <c r="AH72">
        <v>2831</v>
      </c>
      <c r="AI72" s="3">
        <v>8127</v>
      </c>
      <c r="AJ72">
        <v>3495</v>
      </c>
      <c r="AK72">
        <v>4858</v>
      </c>
      <c r="AL72">
        <v>9487</v>
      </c>
      <c r="AM72">
        <v>8182</v>
      </c>
      <c r="AN72">
        <v>10527</v>
      </c>
      <c r="AO72">
        <v>17345</v>
      </c>
      <c r="AP72">
        <v>7875</v>
      </c>
      <c r="AQ72">
        <v>10196</v>
      </c>
      <c r="AR72">
        <v>3002</v>
      </c>
      <c r="AS72">
        <v>2666</v>
      </c>
      <c r="AT72">
        <v>3632</v>
      </c>
      <c r="AU72">
        <v>584</v>
      </c>
      <c r="AV72">
        <v>1306</v>
      </c>
      <c r="AW72">
        <v>2142</v>
      </c>
      <c r="AX72">
        <v>227</v>
      </c>
      <c r="AY72">
        <f>6573+26+1632</f>
        <v>8231</v>
      </c>
      <c r="AZ72">
        <v>4340</v>
      </c>
      <c r="BA72">
        <v>5278</v>
      </c>
      <c r="BB72">
        <v>8241</v>
      </c>
      <c r="BC72">
        <v>3060</v>
      </c>
      <c r="BD72">
        <v>2498</v>
      </c>
      <c r="BE72">
        <v>637</v>
      </c>
      <c r="BF72">
        <v>1841</v>
      </c>
      <c r="BG72">
        <v>5373</v>
      </c>
      <c r="BH72">
        <v>2258</v>
      </c>
      <c r="BI72">
        <v>2000</v>
      </c>
      <c r="BK72">
        <v>4653</v>
      </c>
      <c r="BL72">
        <v>2116</v>
      </c>
      <c r="BM72">
        <v>2940</v>
      </c>
      <c r="BN72">
        <f t="shared" si="69"/>
        <v>162416</v>
      </c>
      <c r="BO72">
        <f t="shared" si="70"/>
        <v>10349</v>
      </c>
      <c r="BP72">
        <f t="shared" si="71"/>
        <v>13967</v>
      </c>
      <c r="BQ72">
        <f t="shared" si="72"/>
        <v>186732</v>
      </c>
      <c r="BU72" s="8"/>
      <c r="BZ72" s="8"/>
      <c r="CD72" s="8"/>
    </row>
    <row r="73" spans="2:82" ht="15.75">
      <c r="B73" t="s">
        <v>142</v>
      </c>
      <c r="C73" t="s">
        <v>143</v>
      </c>
      <c r="D73" t="s">
        <v>68</v>
      </c>
      <c r="AB73">
        <v>4</v>
      </c>
      <c r="AF73">
        <v>2</v>
      </c>
      <c r="AK73">
        <v>8</v>
      </c>
      <c r="AN73">
        <v>2</v>
      </c>
      <c r="AO73">
        <v>4</v>
      </c>
      <c r="AU73">
        <v>1</v>
      </c>
      <c r="AY73">
        <v>2</v>
      </c>
      <c r="BB73">
        <v>3</v>
      </c>
      <c r="BN73">
        <f t="shared" si="69"/>
        <v>26</v>
      </c>
      <c r="BO73">
        <f t="shared" si="70"/>
        <v>0</v>
      </c>
      <c r="BP73">
        <f t="shared" si="71"/>
        <v>0</v>
      </c>
      <c r="BQ73">
        <f t="shared" si="72"/>
        <v>26</v>
      </c>
      <c r="BU73" s="8"/>
      <c r="BZ73" s="8"/>
      <c r="CD73" s="8"/>
    </row>
    <row r="74" spans="4:84" ht="15.75">
      <c r="D74" t="s">
        <v>70</v>
      </c>
      <c r="AB74">
        <v>15094</v>
      </c>
      <c r="AF74">
        <v>418</v>
      </c>
      <c r="AK74">
        <v>1649</v>
      </c>
      <c r="AN74">
        <v>251</v>
      </c>
      <c r="AO74">
        <v>967</v>
      </c>
      <c r="AU74">
        <v>1068</v>
      </c>
      <c r="AY74">
        <v>308</v>
      </c>
      <c r="BB74">
        <v>805</v>
      </c>
      <c r="BN74">
        <f t="shared" si="69"/>
        <v>20560</v>
      </c>
      <c r="BO74">
        <f t="shared" si="70"/>
        <v>0</v>
      </c>
      <c r="BP74">
        <f t="shared" si="71"/>
        <v>0</v>
      </c>
      <c r="BQ74">
        <f t="shared" si="72"/>
        <v>20560</v>
      </c>
      <c r="BU74" s="8"/>
      <c r="BZ74" s="8"/>
      <c r="CD74" s="8"/>
      <c r="CF74" t="s">
        <v>144</v>
      </c>
    </row>
    <row r="75" spans="2:82" ht="15.75">
      <c r="B75" t="s">
        <v>145</v>
      </c>
      <c r="C75" t="s">
        <v>146</v>
      </c>
      <c r="D75" t="s">
        <v>68</v>
      </c>
      <c r="Y75">
        <f>SUM(G75:X75)</f>
        <v>0</v>
      </c>
      <c r="Z75">
        <f>SUM(G75:T75)</f>
        <v>0</v>
      </c>
      <c r="AB75">
        <f>127+81</f>
        <v>208</v>
      </c>
      <c r="AD75">
        <f>122+32</f>
        <v>154</v>
      </c>
      <c r="AE75">
        <f>53+3</f>
        <v>56</v>
      </c>
      <c r="AF75">
        <v>65</v>
      </c>
      <c r="AG75">
        <v>48</v>
      </c>
      <c r="AH75">
        <v>31</v>
      </c>
      <c r="AI75">
        <v>33</v>
      </c>
      <c r="AJ75">
        <v>35</v>
      </c>
      <c r="AK75">
        <v>52</v>
      </c>
      <c r="AL75">
        <f>226+7</f>
        <v>233</v>
      </c>
      <c r="AM75">
        <v>152</v>
      </c>
      <c r="AN75">
        <f>78+12</f>
        <v>90</v>
      </c>
      <c r="AO75">
        <v>81</v>
      </c>
      <c r="AP75">
        <f>266+3</f>
        <v>269</v>
      </c>
      <c r="AQ75">
        <f>160+112</f>
        <v>272</v>
      </c>
      <c r="AR75">
        <f>71+2</f>
        <v>73</v>
      </c>
      <c r="AS75">
        <f>55+51</f>
        <v>106</v>
      </c>
      <c r="AT75">
        <v>25</v>
      </c>
      <c r="AU75">
        <v>43</v>
      </c>
      <c r="AV75">
        <f>110+22</f>
        <v>132</v>
      </c>
      <c r="AW75">
        <f>105+24</f>
        <v>129</v>
      </c>
      <c r="AX75">
        <v>34</v>
      </c>
      <c r="AY75">
        <v>57</v>
      </c>
      <c r="AZ75">
        <v>37</v>
      </c>
      <c r="BA75">
        <v>32</v>
      </c>
      <c r="BB75">
        <v>51</v>
      </c>
      <c r="BC75">
        <v>24</v>
      </c>
      <c r="BD75">
        <v>49</v>
      </c>
      <c r="BE75">
        <v>27</v>
      </c>
      <c r="BF75">
        <v>30</v>
      </c>
      <c r="BG75">
        <v>71</v>
      </c>
      <c r="BH75">
        <v>64</v>
      </c>
      <c r="BI75">
        <f>17+32</f>
        <v>49</v>
      </c>
      <c r="BJ75">
        <v>14</v>
      </c>
      <c r="BK75">
        <f>9+66</f>
        <v>75</v>
      </c>
      <c r="BL75">
        <v>10</v>
      </c>
      <c r="BM75">
        <f>20+9</f>
        <v>29</v>
      </c>
      <c r="BN75">
        <f t="shared" si="69"/>
        <v>2522</v>
      </c>
      <c r="BO75">
        <f t="shared" si="70"/>
        <v>177</v>
      </c>
      <c r="BP75">
        <f t="shared" si="71"/>
        <v>241</v>
      </c>
      <c r="BQ75">
        <f t="shared" si="72"/>
        <v>2940</v>
      </c>
      <c r="BU75" s="8"/>
      <c r="BZ75" s="8"/>
      <c r="CD75" s="8"/>
    </row>
    <row r="76" spans="4:82" ht="15.75">
      <c r="D76" t="s">
        <v>70</v>
      </c>
      <c r="Y76">
        <f>SUM(G76:X76)</f>
        <v>0</v>
      </c>
      <c r="Z76">
        <f>SUM(G76:T76)</f>
        <v>0</v>
      </c>
      <c r="AB76">
        <f>2890+634</f>
        <v>3524</v>
      </c>
      <c r="AD76">
        <f>1236+62</f>
        <v>1298</v>
      </c>
      <c r="AE76">
        <f>745+7</f>
        <v>752</v>
      </c>
      <c r="AF76">
        <v>543</v>
      </c>
      <c r="AG76">
        <v>697</v>
      </c>
      <c r="AH76">
        <v>214</v>
      </c>
      <c r="AI76">
        <v>299</v>
      </c>
      <c r="AJ76">
        <v>454</v>
      </c>
      <c r="AK76">
        <v>704</v>
      </c>
      <c r="AL76">
        <f>2762+62</f>
        <v>2824</v>
      </c>
      <c r="AM76">
        <v>2345</v>
      </c>
      <c r="AN76">
        <f>549+61</f>
        <v>610</v>
      </c>
      <c r="AO76">
        <v>1197</v>
      </c>
      <c r="AP76">
        <f>2609+7</f>
        <v>2616</v>
      </c>
      <c r="AQ76">
        <f>1220+234</f>
        <v>1454</v>
      </c>
      <c r="AR76">
        <f>463+4</f>
        <v>467</v>
      </c>
      <c r="AS76">
        <f>407+314</f>
        <v>721</v>
      </c>
      <c r="AT76">
        <v>264</v>
      </c>
      <c r="AU76">
        <v>206</v>
      </c>
      <c r="AV76">
        <f>290+128</f>
        <v>418</v>
      </c>
      <c r="AW76">
        <f>646+87</f>
        <v>733</v>
      </c>
      <c r="AX76">
        <v>370</v>
      </c>
      <c r="AY76">
        <v>562</v>
      </c>
      <c r="AZ76">
        <v>389</v>
      </c>
      <c r="BA76">
        <v>192</v>
      </c>
      <c r="BB76">
        <v>175</v>
      </c>
      <c r="BC76">
        <v>191</v>
      </c>
      <c r="BD76">
        <v>726</v>
      </c>
      <c r="BE76">
        <v>341</v>
      </c>
      <c r="BF76">
        <v>178</v>
      </c>
      <c r="BG76">
        <v>625</v>
      </c>
      <c r="BH76">
        <v>764</v>
      </c>
      <c r="BI76">
        <f>186+259</f>
        <v>445</v>
      </c>
      <c r="BJ76">
        <v>117</v>
      </c>
      <c r="BK76">
        <f>88+282</f>
        <v>370</v>
      </c>
      <c r="BL76">
        <v>199</v>
      </c>
      <c r="BM76">
        <f>480+36</f>
        <v>516</v>
      </c>
      <c r="BN76">
        <f t="shared" si="69"/>
        <v>24219</v>
      </c>
      <c r="BO76">
        <f t="shared" si="70"/>
        <v>1870</v>
      </c>
      <c r="BP76">
        <f t="shared" si="71"/>
        <v>2411</v>
      </c>
      <c r="BQ76">
        <f t="shared" si="72"/>
        <v>28500</v>
      </c>
      <c r="BU76" s="8"/>
      <c r="BZ76" s="8"/>
      <c r="CD76" s="8"/>
    </row>
    <row r="77" spans="2:82" ht="15.75">
      <c r="B77" t="s">
        <v>147</v>
      </c>
      <c r="C77" t="s">
        <v>148</v>
      </c>
      <c r="D77" t="s">
        <v>68</v>
      </c>
      <c r="AB77">
        <v>2</v>
      </c>
      <c r="AM77">
        <v>1</v>
      </c>
      <c r="AP77">
        <v>1</v>
      </c>
      <c r="BN77">
        <f t="shared" si="69"/>
        <v>4</v>
      </c>
      <c r="BO77">
        <f t="shared" si="70"/>
        <v>0</v>
      </c>
      <c r="BP77">
        <f t="shared" si="71"/>
        <v>0</v>
      </c>
      <c r="BQ77">
        <f t="shared" si="72"/>
        <v>4</v>
      </c>
      <c r="BU77" s="8"/>
      <c r="BZ77" s="8"/>
      <c r="CD77" s="8"/>
    </row>
    <row r="78" spans="4:82" ht="15.75">
      <c r="D78" t="s">
        <v>70</v>
      </c>
      <c r="AB78">
        <v>25</v>
      </c>
      <c r="AM78">
        <v>21</v>
      </c>
      <c r="AP78">
        <v>1</v>
      </c>
      <c r="BN78">
        <f t="shared" si="69"/>
        <v>47</v>
      </c>
      <c r="BO78">
        <f t="shared" si="70"/>
        <v>0</v>
      </c>
      <c r="BP78">
        <f t="shared" si="71"/>
        <v>0</v>
      </c>
      <c r="BQ78">
        <f t="shared" si="72"/>
        <v>47</v>
      </c>
      <c r="BU78" s="8"/>
      <c r="BZ78" s="8"/>
      <c r="CD78" s="8"/>
    </row>
    <row r="79" spans="2:82" ht="15.75">
      <c r="B79" t="s">
        <v>149</v>
      </c>
      <c r="C79" t="s">
        <v>150</v>
      </c>
      <c r="D79" t="s">
        <v>68</v>
      </c>
      <c r="AD79">
        <v>1</v>
      </c>
      <c r="AE79">
        <v>1</v>
      </c>
      <c r="AI79">
        <v>1</v>
      </c>
      <c r="AL79">
        <v>6</v>
      </c>
      <c r="AM79">
        <v>3</v>
      </c>
      <c r="AP79">
        <v>2</v>
      </c>
      <c r="AQ79">
        <v>5</v>
      </c>
      <c r="BN79">
        <f t="shared" si="69"/>
        <v>19</v>
      </c>
      <c r="BO79">
        <f t="shared" si="70"/>
        <v>0</v>
      </c>
      <c r="BP79">
        <f t="shared" si="71"/>
        <v>0</v>
      </c>
      <c r="BQ79">
        <f t="shared" si="72"/>
        <v>19</v>
      </c>
      <c r="BU79" s="8"/>
      <c r="BZ79" s="8"/>
      <c r="CD79" s="8"/>
    </row>
    <row r="80" spans="4:84" ht="15.75">
      <c r="D80" t="s">
        <v>70</v>
      </c>
      <c r="AD80">
        <v>420</v>
      </c>
      <c r="AE80">
        <v>1336</v>
      </c>
      <c r="AI80">
        <v>600</v>
      </c>
      <c r="AL80">
        <v>4384</v>
      </c>
      <c r="AM80">
        <v>9082</v>
      </c>
      <c r="AP80">
        <v>641</v>
      </c>
      <c r="AQ80">
        <v>2700</v>
      </c>
      <c r="BN80">
        <f t="shared" si="69"/>
        <v>19163</v>
      </c>
      <c r="BO80">
        <f t="shared" si="70"/>
        <v>0</v>
      </c>
      <c r="BP80">
        <f t="shared" si="71"/>
        <v>0</v>
      </c>
      <c r="BQ80">
        <f t="shared" si="72"/>
        <v>19163</v>
      </c>
      <c r="BU80" s="8"/>
      <c r="BZ80" s="8"/>
      <c r="CD80" s="8"/>
      <c r="CF80" t="s">
        <v>151</v>
      </c>
    </row>
    <row r="81" spans="2:82" ht="15.75">
      <c r="B81" t="s">
        <v>152</v>
      </c>
      <c r="C81" t="s">
        <v>153</v>
      </c>
      <c r="D81" t="s">
        <v>68</v>
      </c>
      <c r="AB81">
        <v>1</v>
      </c>
      <c r="BN81">
        <f t="shared" si="69"/>
        <v>1</v>
      </c>
      <c r="BO81">
        <f t="shared" si="70"/>
        <v>0</v>
      </c>
      <c r="BP81">
        <f t="shared" si="71"/>
        <v>0</v>
      </c>
      <c r="BQ81">
        <f t="shared" si="72"/>
        <v>1</v>
      </c>
      <c r="BU81" s="8"/>
      <c r="BZ81" s="8"/>
      <c r="CD81" s="8"/>
    </row>
    <row r="82" spans="4:82" ht="15.75">
      <c r="D82" t="s">
        <v>70</v>
      </c>
      <c r="AB82">
        <v>9</v>
      </c>
      <c r="BN82">
        <f t="shared" si="69"/>
        <v>9</v>
      </c>
      <c r="BO82">
        <f t="shared" si="70"/>
        <v>0</v>
      </c>
      <c r="BP82">
        <f t="shared" si="71"/>
        <v>0</v>
      </c>
      <c r="BQ82">
        <f t="shared" si="72"/>
        <v>9</v>
      </c>
      <c r="BU82" s="8"/>
      <c r="BZ82" s="8"/>
      <c r="CD82" s="8"/>
    </row>
    <row r="83" spans="2:82" ht="15.75">
      <c r="B83" t="s">
        <v>154</v>
      </c>
      <c r="C83" t="s">
        <v>155</v>
      </c>
      <c r="D83" t="s">
        <v>68</v>
      </c>
      <c r="AB83">
        <v>1</v>
      </c>
      <c r="BN83">
        <f t="shared" si="69"/>
        <v>1</v>
      </c>
      <c r="BO83">
        <f t="shared" si="70"/>
        <v>0</v>
      </c>
      <c r="BP83">
        <f t="shared" si="71"/>
        <v>0</v>
      </c>
      <c r="BQ83">
        <f t="shared" si="72"/>
        <v>1</v>
      </c>
      <c r="BU83" s="8"/>
      <c r="BZ83" s="8"/>
      <c r="CD83" s="8"/>
    </row>
    <row r="84" spans="4:82" ht="15.75">
      <c r="D84" t="s">
        <v>70</v>
      </c>
      <c r="AB84">
        <v>10</v>
      </c>
      <c r="BN84">
        <f t="shared" si="69"/>
        <v>10</v>
      </c>
      <c r="BO84">
        <f t="shared" si="70"/>
        <v>0</v>
      </c>
      <c r="BP84">
        <f t="shared" si="71"/>
        <v>0</v>
      </c>
      <c r="BQ84">
        <f t="shared" si="72"/>
        <v>10</v>
      </c>
      <c r="BU84" s="8"/>
      <c r="BZ84" s="8"/>
      <c r="CD84" s="8"/>
    </row>
    <row r="85" spans="2:82" ht="15.75">
      <c r="B85" t="s">
        <v>156</v>
      </c>
      <c r="C85" t="s">
        <v>157</v>
      </c>
      <c r="D85" t="s">
        <v>68</v>
      </c>
      <c r="AB85">
        <v>3</v>
      </c>
      <c r="AP85">
        <v>4</v>
      </c>
      <c r="BN85">
        <f t="shared" si="69"/>
        <v>7</v>
      </c>
      <c r="BO85">
        <f t="shared" si="70"/>
        <v>0</v>
      </c>
      <c r="BP85">
        <f t="shared" si="71"/>
        <v>0</v>
      </c>
      <c r="BQ85">
        <f t="shared" si="72"/>
        <v>7</v>
      </c>
      <c r="BU85" s="8"/>
      <c r="BZ85" s="8"/>
      <c r="CD85" s="8"/>
    </row>
    <row r="86" spans="4:82" ht="15.75">
      <c r="D86" t="s">
        <v>70</v>
      </c>
      <c r="AB86">
        <v>74</v>
      </c>
      <c r="AP86">
        <v>29</v>
      </c>
      <c r="BN86">
        <f t="shared" si="69"/>
        <v>103</v>
      </c>
      <c r="BO86">
        <f t="shared" si="70"/>
        <v>0</v>
      </c>
      <c r="BP86">
        <f t="shared" si="71"/>
        <v>0</v>
      </c>
      <c r="BQ86">
        <f t="shared" si="72"/>
        <v>103</v>
      </c>
      <c r="BU86" s="8"/>
      <c r="BZ86" s="8"/>
      <c r="CD86" s="8"/>
    </row>
    <row r="87" spans="2:82" ht="15.75">
      <c r="B87" t="s">
        <v>158</v>
      </c>
      <c r="C87" t="s">
        <v>159</v>
      </c>
      <c r="D87" t="s">
        <v>68</v>
      </c>
      <c r="Y87">
        <f>SUM(G87:X87)</f>
        <v>0</v>
      </c>
      <c r="Z87">
        <f>SUM(G87:T87)</f>
        <v>0</v>
      </c>
      <c r="AB87">
        <v>45</v>
      </c>
      <c r="AD87">
        <v>9</v>
      </c>
      <c r="AE87">
        <v>10</v>
      </c>
      <c r="AF87">
        <v>4</v>
      </c>
      <c r="AG87">
        <v>4</v>
      </c>
      <c r="AH87">
        <v>4</v>
      </c>
      <c r="AI87">
        <v>10</v>
      </c>
      <c r="AJ87">
        <v>8</v>
      </c>
      <c r="AK87">
        <v>10</v>
      </c>
      <c r="AL87">
        <v>10</v>
      </c>
      <c r="AM87">
        <v>8</v>
      </c>
      <c r="AN87">
        <v>4</v>
      </c>
      <c r="AO87">
        <v>9</v>
      </c>
      <c r="AP87">
        <v>13</v>
      </c>
      <c r="AQ87">
        <v>12</v>
      </c>
      <c r="AR87">
        <v>7</v>
      </c>
      <c r="AS87">
        <v>7</v>
      </c>
      <c r="AT87">
        <v>8</v>
      </c>
      <c r="AU87">
        <v>4</v>
      </c>
      <c r="AV87">
        <v>8</v>
      </c>
      <c r="AW87">
        <v>2</v>
      </c>
      <c r="AX87">
        <v>7</v>
      </c>
      <c r="AY87">
        <v>6</v>
      </c>
      <c r="AZ87">
        <v>5</v>
      </c>
      <c r="BA87">
        <v>8</v>
      </c>
      <c r="BB87">
        <v>10</v>
      </c>
      <c r="BC87">
        <v>2</v>
      </c>
      <c r="BD87">
        <v>6</v>
      </c>
      <c r="BE87">
        <v>1</v>
      </c>
      <c r="BF87">
        <v>2</v>
      </c>
      <c r="BG87">
        <v>4</v>
      </c>
      <c r="BH87">
        <v>9</v>
      </c>
      <c r="BI87">
        <v>4</v>
      </c>
      <c r="BJ87">
        <v>1</v>
      </c>
      <c r="BK87">
        <v>5</v>
      </c>
      <c r="BL87">
        <v>4</v>
      </c>
      <c r="BM87">
        <v>2</v>
      </c>
      <c r="BN87">
        <f t="shared" si="69"/>
        <v>234</v>
      </c>
      <c r="BO87">
        <f t="shared" si="70"/>
        <v>13</v>
      </c>
      <c r="BP87">
        <f t="shared" si="71"/>
        <v>25</v>
      </c>
      <c r="BQ87">
        <f t="shared" si="72"/>
        <v>272</v>
      </c>
      <c r="BU87" s="8"/>
      <c r="BZ87" s="8"/>
      <c r="CD87" s="8"/>
    </row>
    <row r="88" spans="4:82" ht="15.75">
      <c r="D88" t="s">
        <v>70</v>
      </c>
      <c r="Y88">
        <f>SUM(G88:X88)</f>
        <v>0</v>
      </c>
      <c r="Z88">
        <f>SUM(G88:T88)</f>
        <v>0</v>
      </c>
      <c r="AB88">
        <v>891</v>
      </c>
      <c r="AD88">
        <v>198</v>
      </c>
      <c r="AE88">
        <v>183</v>
      </c>
      <c r="AF88">
        <v>68</v>
      </c>
      <c r="AG88">
        <v>62</v>
      </c>
      <c r="AH88">
        <v>54</v>
      </c>
      <c r="AI88">
        <v>241</v>
      </c>
      <c r="AJ88">
        <v>115</v>
      </c>
      <c r="AK88">
        <v>178</v>
      </c>
      <c r="AL88">
        <v>167</v>
      </c>
      <c r="AM88">
        <v>129</v>
      </c>
      <c r="AN88">
        <v>70</v>
      </c>
      <c r="AO88">
        <v>130</v>
      </c>
      <c r="AP88">
        <v>327</v>
      </c>
      <c r="AQ88">
        <v>125</v>
      </c>
      <c r="AR88">
        <v>119</v>
      </c>
      <c r="AS88">
        <v>21</v>
      </c>
      <c r="AT88">
        <v>112</v>
      </c>
      <c r="AU88">
        <v>68</v>
      </c>
      <c r="AV88">
        <v>48</v>
      </c>
      <c r="AW88">
        <v>21</v>
      </c>
      <c r="AX88">
        <v>121</v>
      </c>
      <c r="AY88">
        <v>69</v>
      </c>
      <c r="AZ88">
        <v>52</v>
      </c>
      <c r="BA88">
        <v>40</v>
      </c>
      <c r="BB88">
        <v>44</v>
      </c>
      <c r="BC88">
        <v>38</v>
      </c>
      <c r="BD88">
        <v>76</v>
      </c>
      <c r="BE88">
        <v>3</v>
      </c>
      <c r="BF88">
        <v>55</v>
      </c>
      <c r="BG88">
        <v>54</v>
      </c>
      <c r="BH88">
        <v>145</v>
      </c>
      <c r="BI88">
        <v>49</v>
      </c>
      <c r="BJ88">
        <v>20</v>
      </c>
      <c r="BK88">
        <v>50</v>
      </c>
      <c r="BL88">
        <v>111</v>
      </c>
      <c r="BM88">
        <v>40</v>
      </c>
      <c r="BN88">
        <f t="shared" si="69"/>
        <v>3691</v>
      </c>
      <c r="BO88">
        <f t="shared" si="70"/>
        <v>188</v>
      </c>
      <c r="BP88">
        <f t="shared" si="71"/>
        <v>415</v>
      </c>
      <c r="BQ88">
        <f t="shared" si="72"/>
        <v>4294</v>
      </c>
      <c r="BU88" s="8"/>
      <c r="BZ88" s="8"/>
      <c r="CD88" s="8"/>
    </row>
    <row r="89" spans="2:82" ht="15.75">
      <c r="B89" t="s">
        <v>160</v>
      </c>
      <c r="D89" t="s">
        <v>68</v>
      </c>
      <c r="AB89">
        <v>1</v>
      </c>
      <c r="BN89">
        <f t="shared" si="69"/>
        <v>1</v>
      </c>
      <c r="BO89">
        <f t="shared" si="70"/>
        <v>0</v>
      </c>
      <c r="BP89">
        <f t="shared" si="71"/>
        <v>0</v>
      </c>
      <c r="BQ89">
        <f t="shared" si="72"/>
        <v>1</v>
      </c>
      <c r="BU89" s="8"/>
      <c r="BZ89" s="8"/>
      <c r="CD89" s="8"/>
    </row>
    <row r="90" spans="4:82" ht="15.75">
      <c r="D90" t="s">
        <v>70</v>
      </c>
      <c r="AB90">
        <v>7</v>
      </c>
      <c r="BN90">
        <f t="shared" si="69"/>
        <v>7</v>
      </c>
      <c r="BO90">
        <f t="shared" si="70"/>
        <v>0</v>
      </c>
      <c r="BP90">
        <f t="shared" si="71"/>
        <v>0</v>
      </c>
      <c r="BQ90">
        <f t="shared" si="72"/>
        <v>7</v>
      </c>
      <c r="BU90" s="8"/>
      <c r="BZ90" s="8"/>
      <c r="CD90" s="8"/>
    </row>
    <row r="91" spans="2:82" ht="15.75">
      <c r="B91" t="s">
        <v>161</v>
      </c>
      <c r="D91" t="s">
        <v>68</v>
      </c>
      <c r="AB91">
        <v>17</v>
      </c>
      <c r="BN91">
        <f t="shared" si="69"/>
        <v>17</v>
      </c>
      <c r="BO91">
        <f t="shared" si="70"/>
        <v>0</v>
      </c>
      <c r="BP91">
        <f t="shared" si="71"/>
        <v>0</v>
      </c>
      <c r="BQ91">
        <f t="shared" si="72"/>
        <v>17</v>
      </c>
      <c r="BU91" s="8"/>
      <c r="BZ91" s="8"/>
      <c r="CD91" s="8"/>
    </row>
    <row r="92" spans="4:82" ht="15.75">
      <c r="D92" t="s">
        <v>70</v>
      </c>
      <c r="AB92">
        <v>199</v>
      </c>
      <c r="BN92">
        <f t="shared" si="69"/>
        <v>199</v>
      </c>
      <c r="BO92">
        <f t="shared" si="70"/>
        <v>0</v>
      </c>
      <c r="BP92">
        <f t="shared" si="71"/>
        <v>0</v>
      </c>
      <c r="BQ92">
        <f t="shared" si="72"/>
        <v>199</v>
      </c>
      <c r="BU92" s="8"/>
      <c r="BZ92" s="8"/>
      <c r="CD92" s="8"/>
    </row>
    <row r="93" spans="2:82" ht="15.75">
      <c r="B93" t="s">
        <v>162</v>
      </c>
      <c r="D93" t="s">
        <v>68</v>
      </c>
      <c r="AP93">
        <v>1</v>
      </c>
      <c r="BN93">
        <f t="shared" si="69"/>
        <v>1</v>
      </c>
      <c r="BO93">
        <f t="shared" si="70"/>
        <v>0</v>
      </c>
      <c r="BP93">
        <f t="shared" si="71"/>
        <v>0</v>
      </c>
      <c r="BQ93">
        <f t="shared" si="72"/>
        <v>1</v>
      </c>
      <c r="BU93" s="8"/>
      <c r="BZ93" s="8"/>
      <c r="CD93" s="8"/>
    </row>
    <row r="94" spans="4:82" ht="15.75">
      <c r="D94" t="s">
        <v>70</v>
      </c>
      <c r="AP94">
        <v>9</v>
      </c>
      <c r="BN94">
        <f t="shared" si="69"/>
        <v>9</v>
      </c>
      <c r="BO94">
        <f t="shared" si="70"/>
        <v>0</v>
      </c>
      <c r="BP94">
        <f t="shared" si="71"/>
        <v>0</v>
      </c>
      <c r="BQ94">
        <f t="shared" si="72"/>
        <v>9</v>
      </c>
      <c r="BU94" s="8"/>
      <c r="BZ94" s="8"/>
      <c r="CD94" s="8"/>
    </row>
    <row r="95" spans="2:82" ht="15.75">
      <c r="B95" t="s">
        <v>163</v>
      </c>
      <c r="AL95">
        <v>2</v>
      </c>
      <c r="BD95">
        <v>2</v>
      </c>
      <c r="BI95">
        <v>4</v>
      </c>
      <c r="BN95">
        <f t="shared" si="69"/>
        <v>2</v>
      </c>
      <c r="BO95">
        <f t="shared" si="70"/>
        <v>2</v>
      </c>
      <c r="BP95">
        <f t="shared" si="71"/>
        <v>4</v>
      </c>
      <c r="BQ95">
        <f t="shared" si="72"/>
        <v>8</v>
      </c>
      <c r="BU95" s="8"/>
      <c r="BZ95" s="8"/>
      <c r="CD95" s="8"/>
    </row>
    <row r="96" spans="38:82" ht="15.75">
      <c r="AL96">
        <v>55</v>
      </c>
      <c r="BD96">
        <v>3</v>
      </c>
      <c r="BI96">
        <v>16</v>
      </c>
      <c r="BN96">
        <f t="shared" si="69"/>
        <v>55</v>
      </c>
      <c r="BO96">
        <f t="shared" si="70"/>
        <v>3</v>
      </c>
      <c r="BP96">
        <f t="shared" si="71"/>
        <v>16</v>
      </c>
      <c r="BQ96">
        <f t="shared" si="72"/>
        <v>74</v>
      </c>
      <c r="BU96" s="8"/>
      <c r="BZ96" s="8"/>
      <c r="CD96" s="8"/>
    </row>
    <row r="97" spans="2:82" ht="15.75">
      <c r="B97" t="s">
        <v>164</v>
      </c>
      <c r="C97" t="s">
        <v>165</v>
      </c>
      <c r="D97" t="s">
        <v>68</v>
      </c>
      <c r="AB97">
        <v>15</v>
      </c>
      <c r="AD97">
        <v>39</v>
      </c>
      <c r="AE97">
        <v>16</v>
      </c>
      <c r="AF97">
        <v>14</v>
      </c>
      <c r="AG97">
        <v>20</v>
      </c>
      <c r="AH97">
        <v>10</v>
      </c>
      <c r="AI97">
        <v>11</v>
      </c>
      <c r="AJ97">
        <v>8</v>
      </c>
      <c r="AK97">
        <v>22</v>
      </c>
      <c r="AL97">
        <v>46</v>
      </c>
      <c r="AM97">
        <v>25</v>
      </c>
      <c r="AN97">
        <v>32</v>
      </c>
      <c r="AO97">
        <v>33</v>
      </c>
      <c r="AP97">
        <v>22</v>
      </c>
      <c r="AQ97">
        <v>24</v>
      </c>
      <c r="AR97">
        <v>10</v>
      </c>
      <c r="AS97">
        <v>6</v>
      </c>
      <c r="AT97">
        <v>11</v>
      </c>
      <c r="AU97">
        <v>37</v>
      </c>
      <c r="AV97">
        <v>7</v>
      </c>
      <c r="AW97">
        <v>1</v>
      </c>
      <c r="AX97">
        <v>4</v>
      </c>
      <c r="AY97">
        <v>26</v>
      </c>
      <c r="AZ97">
        <v>14</v>
      </c>
      <c r="BA97">
        <v>29</v>
      </c>
      <c r="BB97">
        <v>30</v>
      </c>
      <c r="BC97">
        <v>19</v>
      </c>
      <c r="BD97">
        <v>4</v>
      </c>
      <c r="BE97">
        <v>11</v>
      </c>
      <c r="BG97">
        <v>36</v>
      </c>
      <c r="BH97">
        <v>6</v>
      </c>
      <c r="BJ97">
        <v>1</v>
      </c>
      <c r="BK97">
        <v>3</v>
      </c>
      <c r="BM97">
        <v>30</v>
      </c>
      <c r="BN97">
        <f t="shared" si="69"/>
        <v>531</v>
      </c>
      <c r="BO97">
        <f t="shared" si="70"/>
        <v>51</v>
      </c>
      <c r="BP97">
        <f t="shared" si="71"/>
        <v>40</v>
      </c>
      <c r="BQ97">
        <f t="shared" si="72"/>
        <v>622</v>
      </c>
      <c r="BU97" s="8"/>
      <c r="BZ97" s="8"/>
      <c r="CD97" s="8"/>
    </row>
    <row r="98" spans="4:82" ht="15.75">
      <c r="D98" t="s">
        <v>70</v>
      </c>
      <c r="AB98">
        <v>251</v>
      </c>
      <c r="AD98">
        <v>243</v>
      </c>
      <c r="AE98">
        <v>92</v>
      </c>
      <c r="AF98">
        <v>83</v>
      </c>
      <c r="AG98">
        <v>211</v>
      </c>
      <c r="AH98">
        <v>40</v>
      </c>
      <c r="AI98">
        <v>208</v>
      </c>
      <c r="AJ98">
        <v>47</v>
      </c>
      <c r="AK98">
        <v>217</v>
      </c>
      <c r="AL98">
        <v>557</v>
      </c>
      <c r="AM98">
        <v>299</v>
      </c>
      <c r="AN98">
        <v>246</v>
      </c>
      <c r="AO98">
        <v>478</v>
      </c>
      <c r="AP98">
        <v>266</v>
      </c>
      <c r="AQ98">
        <v>137</v>
      </c>
      <c r="AR98">
        <v>122</v>
      </c>
      <c r="AS98">
        <v>28</v>
      </c>
      <c r="AT98">
        <v>104</v>
      </c>
      <c r="AU98">
        <v>110</v>
      </c>
      <c r="AV98">
        <v>43</v>
      </c>
      <c r="AW98">
        <v>7</v>
      </c>
      <c r="AX98">
        <v>33</v>
      </c>
      <c r="AY98">
        <v>218</v>
      </c>
      <c r="AZ98">
        <v>52</v>
      </c>
      <c r="BA98">
        <v>128</v>
      </c>
      <c r="BB98">
        <v>96</v>
      </c>
      <c r="BC98">
        <v>89</v>
      </c>
      <c r="BD98">
        <v>49</v>
      </c>
      <c r="BE98">
        <v>41</v>
      </c>
      <c r="BG98">
        <v>253</v>
      </c>
      <c r="BH98">
        <v>36</v>
      </c>
      <c r="BI98">
        <v>6</v>
      </c>
      <c r="BK98">
        <v>20</v>
      </c>
      <c r="BM98">
        <v>420</v>
      </c>
      <c r="BN98">
        <f t="shared" si="69"/>
        <v>4405</v>
      </c>
      <c r="BO98">
        <f t="shared" si="70"/>
        <v>343</v>
      </c>
      <c r="BP98">
        <f t="shared" si="71"/>
        <v>482</v>
      </c>
      <c r="BQ98">
        <f t="shared" si="72"/>
        <v>5230</v>
      </c>
      <c r="BU98" s="8"/>
      <c r="BZ98" s="8"/>
      <c r="CD98" s="8"/>
    </row>
    <row r="99" spans="1:82" ht="15.75">
      <c r="A99" s="15" t="s">
        <v>166</v>
      </c>
      <c r="C99" t="s">
        <v>134</v>
      </c>
      <c r="D99" t="s">
        <v>68</v>
      </c>
      <c r="E99">
        <v>80564</v>
      </c>
      <c r="G99">
        <v>5524</v>
      </c>
      <c r="H99">
        <v>4137</v>
      </c>
      <c r="I99">
        <v>830</v>
      </c>
      <c r="J99">
        <v>4002</v>
      </c>
      <c r="K99">
        <v>1484</v>
      </c>
      <c r="L99">
        <v>2203</v>
      </c>
      <c r="M99">
        <v>738</v>
      </c>
      <c r="N99">
        <v>3406</v>
      </c>
      <c r="O99">
        <v>17228</v>
      </c>
      <c r="P99">
        <v>5889</v>
      </c>
      <c r="Q99">
        <v>1691</v>
      </c>
      <c r="R99">
        <v>4204</v>
      </c>
      <c r="S99">
        <v>373</v>
      </c>
      <c r="T99">
        <v>744</v>
      </c>
      <c r="U99">
        <v>19153</v>
      </c>
      <c r="V99">
        <v>1221</v>
      </c>
      <c r="W99">
        <v>1475</v>
      </c>
      <c r="X99">
        <v>6262</v>
      </c>
      <c r="Y99">
        <f>SUM(G99:X99)</f>
        <v>80564</v>
      </c>
      <c r="Z99">
        <f>SUM(G99:T99)</f>
        <v>52453</v>
      </c>
      <c r="AB99">
        <f>AB69+AB71+AB73+AB75+AB77+AB79+AB81+AB83+AB85+AB87+AB89+AB91+AB93+AB95+AB97</f>
        <v>468</v>
      </c>
      <c r="AD99">
        <f aca="true" t="shared" si="73" ref="AD99:BQ99">AD69+AD71+AD73+AD75+AD77+AD79+AD81+AD83+AD85+AD87+AD89+AD91+AD93+AD95+AD97</f>
        <v>721</v>
      </c>
      <c r="AE99">
        <f t="shared" si="73"/>
        <v>456</v>
      </c>
      <c r="AF99">
        <f t="shared" si="73"/>
        <v>980</v>
      </c>
      <c r="AG99">
        <f t="shared" si="73"/>
        <v>1052</v>
      </c>
      <c r="AH99">
        <f t="shared" si="73"/>
        <v>354</v>
      </c>
      <c r="AI99">
        <f t="shared" si="73"/>
        <v>596</v>
      </c>
      <c r="AJ99">
        <f t="shared" si="73"/>
        <v>619</v>
      </c>
      <c r="AK99">
        <f t="shared" si="73"/>
        <v>729</v>
      </c>
      <c r="AL99">
        <f t="shared" si="73"/>
        <v>725</v>
      </c>
      <c r="AM99">
        <f t="shared" si="73"/>
        <v>672</v>
      </c>
      <c r="AN99">
        <f t="shared" si="73"/>
        <v>795</v>
      </c>
      <c r="AO99">
        <f t="shared" si="73"/>
        <v>1303</v>
      </c>
      <c r="AP99">
        <f t="shared" si="73"/>
        <v>1426</v>
      </c>
      <c r="AQ99">
        <f t="shared" si="73"/>
        <v>1335</v>
      </c>
      <c r="AR99">
        <f t="shared" si="73"/>
        <v>682</v>
      </c>
      <c r="AS99">
        <f t="shared" si="73"/>
        <v>760</v>
      </c>
      <c r="AT99">
        <f t="shared" si="73"/>
        <v>187</v>
      </c>
      <c r="AU99">
        <f t="shared" si="73"/>
        <v>341</v>
      </c>
      <c r="AV99">
        <f t="shared" si="73"/>
        <v>514</v>
      </c>
      <c r="AW99">
        <f t="shared" si="73"/>
        <v>519</v>
      </c>
      <c r="AX99">
        <f t="shared" si="73"/>
        <v>47</v>
      </c>
      <c r="AY99">
        <f t="shared" si="73"/>
        <v>723</v>
      </c>
      <c r="AZ99">
        <f t="shared" si="73"/>
        <v>607</v>
      </c>
      <c r="BA99">
        <f t="shared" si="73"/>
        <v>620</v>
      </c>
      <c r="BB99">
        <f t="shared" si="73"/>
        <v>1465</v>
      </c>
      <c r="BC99">
        <f t="shared" si="73"/>
        <v>457</v>
      </c>
      <c r="BD99">
        <f t="shared" si="73"/>
        <v>395</v>
      </c>
      <c r="BE99">
        <f t="shared" si="73"/>
        <v>133</v>
      </c>
      <c r="BF99">
        <f t="shared" si="73"/>
        <v>68</v>
      </c>
      <c r="BG99">
        <f t="shared" si="73"/>
        <v>625</v>
      </c>
      <c r="BH99">
        <f t="shared" si="73"/>
        <v>225</v>
      </c>
      <c r="BI99">
        <f t="shared" si="73"/>
        <v>208</v>
      </c>
      <c r="BJ99">
        <f t="shared" si="73"/>
        <v>16</v>
      </c>
      <c r="BK99">
        <f t="shared" si="73"/>
        <v>374</v>
      </c>
      <c r="BL99">
        <f t="shared" si="73"/>
        <v>171</v>
      </c>
      <c r="BM99">
        <f t="shared" si="73"/>
        <v>481</v>
      </c>
      <c r="BN99">
        <f t="shared" si="73"/>
        <v>19153</v>
      </c>
      <c r="BO99">
        <f t="shared" si="73"/>
        <v>1221</v>
      </c>
      <c r="BP99">
        <f t="shared" si="73"/>
        <v>1475</v>
      </c>
      <c r="BQ99">
        <f t="shared" si="73"/>
        <v>21849</v>
      </c>
      <c r="BU99" s="8"/>
      <c r="BZ99" s="8"/>
      <c r="CD99" s="8"/>
    </row>
    <row r="100" spans="4:82" ht="15.75">
      <c r="D100" t="s">
        <v>70</v>
      </c>
      <c r="E100">
        <v>1351313</v>
      </c>
      <c r="G100">
        <v>234693</v>
      </c>
      <c r="H100">
        <v>58861</v>
      </c>
      <c r="I100">
        <v>10077</v>
      </c>
      <c r="J100">
        <v>52096</v>
      </c>
      <c r="K100">
        <v>15501</v>
      </c>
      <c r="L100">
        <v>19648</v>
      </c>
      <c r="M100">
        <v>22072</v>
      </c>
      <c r="N100">
        <v>16144</v>
      </c>
      <c r="O100">
        <v>349807</v>
      </c>
      <c r="P100">
        <v>165613</v>
      </c>
      <c r="Q100">
        <v>43633</v>
      </c>
      <c r="R100">
        <v>40805</v>
      </c>
      <c r="S100">
        <v>3623</v>
      </c>
      <c r="T100">
        <v>3854</v>
      </c>
      <c r="U100">
        <v>234827</v>
      </c>
      <c r="V100">
        <v>12753</v>
      </c>
      <c r="W100">
        <v>17291</v>
      </c>
      <c r="X100">
        <v>50015</v>
      </c>
      <c r="Y100">
        <f>SUM(G100:X100)</f>
        <v>1351313</v>
      </c>
      <c r="Z100">
        <f>SUM(G100:T100)</f>
        <v>1036427</v>
      </c>
      <c r="AB100">
        <f>AB70+AB72+AB74+AB76+AB78+AB80+AB82+AB84+AB86+AB88+AB90+AB92+AB94+AB96+AB98</f>
        <v>23231</v>
      </c>
      <c r="AD100">
        <f aca="true" t="shared" si="74" ref="AD100:BQ100">AD70+AD72+AD74+AD76+AD78+AD80+AD82+AD84+AD86+AD88+AD90+AD92+AD94+AD96+AD98</f>
        <v>9139</v>
      </c>
      <c r="AE100">
        <f t="shared" si="74"/>
        <v>12435</v>
      </c>
      <c r="AF100">
        <f t="shared" si="74"/>
        <v>7311</v>
      </c>
      <c r="AG100">
        <f t="shared" si="74"/>
        <v>11380</v>
      </c>
      <c r="AH100">
        <f t="shared" si="74"/>
        <v>3139</v>
      </c>
      <c r="AI100">
        <f t="shared" si="74"/>
        <v>9475</v>
      </c>
      <c r="AJ100">
        <f t="shared" si="74"/>
        <v>4111</v>
      </c>
      <c r="AK100">
        <f t="shared" si="74"/>
        <v>7606</v>
      </c>
      <c r="AL100">
        <f t="shared" si="74"/>
        <v>17474</v>
      </c>
      <c r="AM100">
        <f t="shared" si="74"/>
        <v>20058</v>
      </c>
      <c r="AN100">
        <f t="shared" si="74"/>
        <v>11704</v>
      </c>
      <c r="AO100">
        <f t="shared" si="74"/>
        <v>20117</v>
      </c>
      <c r="AP100">
        <f t="shared" si="74"/>
        <v>11764</v>
      </c>
      <c r="AQ100">
        <f t="shared" si="74"/>
        <v>14612</v>
      </c>
      <c r="AR100">
        <f t="shared" si="74"/>
        <v>3710</v>
      </c>
      <c r="AS100">
        <f t="shared" si="74"/>
        <v>3436</v>
      </c>
      <c r="AT100">
        <f t="shared" si="74"/>
        <v>4112</v>
      </c>
      <c r="AU100">
        <f t="shared" si="74"/>
        <v>2036</v>
      </c>
      <c r="AV100">
        <f t="shared" si="74"/>
        <v>1815</v>
      </c>
      <c r="AW100">
        <f t="shared" si="74"/>
        <v>2903</v>
      </c>
      <c r="AX100">
        <f t="shared" si="74"/>
        <v>751</v>
      </c>
      <c r="AY100">
        <f t="shared" si="74"/>
        <v>9388</v>
      </c>
      <c r="AZ100">
        <f t="shared" si="74"/>
        <v>4833</v>
      </c>
      <c r="BA100">
        <f t="shared" si="74"/>
        <v>5638</v>
      </c>
      <c r="BB100">
        <f t="shared" si="74"/>
        <v>9361</v>
      </c>
      <c r="BC100">
        <f t="shared" si="74"/>
        <v>3378</v>
      </c>
      <c r="BD100">
        <f t="shared" si="74"/>
        <v>3352</v>
      </c>
      <c r="BE100">
        <f t="shared" si="74"/>
        <v>1022</v>
      </c>
      <c r="BF100">
        <f t="shared" si="74"/>
        <v>2074</v>
      </c>
      <c r="BG100">
        <f t="shared" si="74"/>
        <v>6305</v>
      </c>
      <c r="BH100">
        <f t="shared" si="74"/>
        <v>3203</v>
      </c>
      <c r="BI100">
        <f t="shared" si="74"/>
        <v>2516</v>
      </c>
      <c r="BJ100">
        <f t="shared" si="74"/>
        <v>137</v>
      </c>
      <c r="BK100">
        <f t="shared" si="74"/>
        <v>5093</v>
      </c>
      <c r="BL100">
        <f t="shared" si="74"/>
        <v>2426</v>
      </c>
      <c r="BM100">
        <f t="shared" si="74"/>
        <v>3916</v>
      </c>
      <c r="BN100">
        <f t="shared" si="74"/>
        <v>234917</v>
      </c>
      <c r="BO100">
        <f t="shared" si="74"/>
        <v>12753</v>
      </c>
      <c r="BP100">
        <f t="shared" si="74"/>
        <v>17291</v>
      </c>
      <c r="BQ100">
        <f t="shared" si="74"/>
        <v>264961</v>
      </c>
      <c r="BU100" s="8"/>
      <c r="BZ100" s="8"/>
      <c r="CD100" s="8"/>
    </row>
    <row r="101" spans="1:82" ht="15.75">
      <c r="A101" s="15" t="s">
        <v>167</v>
      </c>
      <c r="B101" t="s">
        <v>168</v>
      </c>
      <c r="C101" t="s">
        <v>169</v>
      </c>
      <c r="BU101" s="8"/>
      <c r="BZ101" s="8"/>
      <c r="CD101" s="8"/>
    </row>
    <row r="102" spans="2:82" ht="15.75">
      <c r="B102" t="s">
        <v>170</v>
      </c>
      <c r="C102" t="s">
        <v>171</v>
      </c>
      <c r="D102" t="s">
        <v>68</v>
      </c>
      <c r="AB102">
        <v>9</v>
      </c>
      <c r="AD102">
        <v>4</v>
      </c>
      <c r="AE102">
        <v>7</v>
      </c>
      <c r="AF102">
        <v>4</v>
      </c>
      <c r="AG102">
        <v>3</v>
      </c>
      <c r="AH102">
        <v>5</v>
      </c>
      <c r="AI102">
        <v>9</v>
      </c>
      <c r="AJ102">
        <v>2</v>
      </c>
      <c r="AK102">
        <v>2</v>
      </c>
      <c r="AL102">
        <v>22</v>
      </c>
      <c r="AM102">
        <v>8</v>
      </c>
      <c r="AN102">
        <v>13</v>
      </c>
      <c r="AO102">
        <v>14</v>
      </c>
      <c r="AP102">
        <v>21</v>
      </c>
      <c r="AQ102">
        <v>18</v>
      </c>
      <c r="AR102">
        <v>14</v>
      </c>
      <c r="AS102">
        <v>33</v>
      </c>
      <c r="AT102">
        <v>2</v>
      </c>
      <c r="AU102">
        <v>3</v>
      </c>
      <c r="AV102">
        <v>16</v>
      </c>
      <c r="AW102">
        <v>8</v>
      </c>
      <c r="AX102">
        <v>1</v>
      </c>
      <c r="AY102">
        <v>7</v>
      </c>
      <c r="AZ102">
        <v>4</v>
      </c>
      <c r="BA102">
        <v>2</v>
      </c>
      <c r="BB102">
        <v>7</v>
      </c>
      <c r="BC102">
        <v>3</v>
      </c>
      <c r="BD102">
        <v>5</v>
      </c>
      <c r="BE102">
        <v>5</v>
      </c>
      <c r="BF102">
        <v>3</v>
      </c>
      <c r="BG102">
        <v>12</v>
      </c>
      <c r="BH102">
        <v>6</v>
      </c>
      <c r="BI102">
        <v>16</v>
      </c>
      <c r="BJ102">
        <v>4</v>
      </c>
      <c r="BK102">
        <v>7</v>
      </c>
      <c r="BL102">
        <v>2</v>
      </c>
      <c r="BM102">
        <v>4</v>
      </c>
      <c r="BN102">
        <f aca="true" t="shared" si="75" ref="BN102:BN115">SUM(AA102:BC102)</f>
        <v>241</v>
      </c>
      <c r="BO102">
        <f aca="true" t="shared" si="76" ref="BO102:BO115">SUM(BD102:BG102)</f>
        <v>25</v>
      </c>
      <c r="BP102">
        <f aca="true" t="shared" si="77" ref="BP102:BP115">SUM(BH102:BM102)</f>
        <v>39</v>
      </c>
      <c r="BQ102">
        <f aca="true" t="shared" si="78" ref="BQ102:BQ115">SUM(BN102:BP102)</f>
        <v>305</v>
      </c>
      <c r="BU102" s="8"/>
      <c r="BZ102" s="8"/>
      <c r="CD102" s="8"/>
    </row>
    <row r="103" spans="4:82" ht="15.75">
      <c r="D103" t="s">
        <v>70</v>
      </c>
      <c r="AB103">
        <v>3541</v>
      </c>
      <c r="AD103">
        <v>347</v>
      </c>
      <c r="AE103">
        <v>120</v>
      </c>
      <c r="AF103">
        <v>54</v>
      </c>
      <c r="AG103">
        <v>116</v>
      </c>
      <c r="AH103">
        <v>227</v>
      </c>
      <c r="AI103">
        <v>628</v>
      </c>
      <c r="AJ103">
        <v>33</v>
      </c>
      <c r="AK103">
        <v>5</v>
      </c>
      <c r="AL103">
        <v>975</v>
      </c>
      <c r="AM103">
        <v>949</v>
      </c>
      <c r="AN103">
        <v>461</v>
      </c>
      <c r="AO103">
        <v>736</v>
      </c>
      <c r="AP103">
        <v>1063</v>
      </c>
      <c r="AQ103">
        <v>669</v>
      </c>
      <c r="AR103">
        <v>235</v>
      </c>
      <c r="AS103">
        <v>448</v>
      </c>
      <c r="AT103">
        <v>77</v>
      </c>
      <c r="AU103">
        <v>13</v>
      </c>
      <c r="AV103">
        <v>174</v>
      </c>
      <c r="AW103">
        <v>108</v>
      </c>
      <c r="AX103">
        <v>816</v>
      </c>
      <c r="AY103">
        <v>330</v>
      </c>
      <c r="AZ103">
        <v>122</v>
      </c>
      <c r="BA103">
        <v>73</v>
      </c>
      <c r="BB103">
        <v>920</v>
      </c>
      <c r="BC103">
        <v>159</v>
      </c>
      <c r="BD103">
        <v>248</v>
      </c>
      <c r="BE103">
        <v>90</v>
      </c>
      <c r="BF103">
        <v>215</v>
      </c>
      <c r="BG103">
        <v>469</v>
      </c>
      <c r="BH103">
        <v>169</v>
      </c>
      <c r="BI103">
        <v>230</v>
      </c>
      <c r="BJ103">
        <v>215</v>
      </c>
      <c r="BK103">
        <v>361</v>
      </c>
      <c r="BL103">
        <v>236</v>
      </c>
      <c r="BM103">
        <v>108</v>
      </c>
      <c r="BN103">
        <f t="shared" si="75"/>
        <v>13399</v>
      </c>
      <c r="BO103">
        <f t="shared" si="76"/>
        <v>1022</v>
      </c>
      <c r="BP103">
        <f t="shared" si="77"/>
        <v>1319</v>
      </c>
      <c r="BQ103">
        <f t="shared" si="78"/>
        <v>15740</v>
      </c>
      <c r="BU103" s="8"/>
      <c r="BZ103" s="8"/>
      <c r="CD103" s="8"/>
    </row>
    <row r="104" spans="2:82" ht="15.75">
      <c r="B104" t="s">
        <v>172</v>
      </c>
      <c r="D104" t="s">
        <v>68</v>
      </c>
      <c r="AP104">
        <v>8</v>
      </c>
      <c r="BI104">
        <v>3</v>
      </c>
      <c r="BN104">
        <f t="shared" si="75"/>
        <v>8</v>
      </c>
      <c r="BO104">
        <f t="shared" si="76"/>
        <v>0</v>
      </c>
      <c r="BP104">
        <f t="shared" si="77"/>
        <v>3</v>
      </c>
      <c r="BQ104">
        <f t="shared" si="78"/>
        <v>11</v>
      </c>
      <c r="BU104" s="8"/>
      <c r="BZ104" s="8"/>
      <c r="CD104" s="8"/>
    </row>
    <row r="105" spans="4:82" ht="15.75">
      <c r="D105" t="s">
        <v>70</v>
      </c>
      <c r="AP105">
        <v>158</v>
      </c>
      <c r="BI105">
        <v>14</v>
      </c>
      <c r="BN105">
        <f t="shared" si="75"/>
        <v>158</v>
      </c>
      <c r="BO105">
        <f t="shared" si="76"/>
        <v>0</v>
      </c>
      <c r="BP105">
        <f t="shared" si="77"/>
        <v>14</v>
      </c>
      <c r="BQ105">
        <f t="shared" si="78"/>
        <v>172</v>
      </c>
      <c r="BU105" s="8"/>
      <c r="BZ105" s="8"/>
      <c r="CD105" s="8"/>
    </row>
    <row r="106" spans="2:82" ht="15.75">
      <c r="B106" t="s">
        <v>173</v>
      </c>
      <c r="C106" t="s">
        <v>174</v>
      </c>
      <c r="D106" t="s">
        <v>68</v>
      </c>
      <c r="AB106">
        <v>2</v>
      </c>
      <c r="AP106">
        <v>4</v>
      </c>
      <c r="BN106">
        <f t="shared" si="75"/>
        <v>6</v>
      </c>
      <c r="BO106">
        <f t="shared" si="76"/>
        <v>0</v>
      </c>
      <c r="BP106">
        <f t="shared" si="77"/>
        <v>0</v>
      </c>
      <c r="BQ106">
        <f t="shared" si="78"/>
        <v>6</v>
      </c>
      <c r="BU106" s="8"/>
      <c r="BZ106" s="8"/>
      <c r="CD106" s="8"/>
    </row>
    <row r="107" spans="4:82" ht="15.75">
      <c r="D107" t="s">
        <v>70</v>
      </c>
      <c r="AB107">
        <v>20</v>
      </c>
      <c r="AP107">
        <v>59</v>
      </c>
      <c r="BN107">
        <f t="shared" si="75"/>
        <v>79</v>
      </c>
      <c r="BO107">
        <f t="shared" si="76"/>
        <v>0</v>
      </c>
      <c r="BP107">
        <f t="shared" si="77"/>
        <v>0</v>
      </c>
      <c r="BQ107">
        <f t="shared" si="78"/>
        <v>79</v>
      </c>
      <c r="BU107" s="8"/>
      <c r="BZ107" s="8"/>
      <c r="CD107" s="8"/>
    </row>
    <row r="108" spans="2:82" ht="15.75">
      <c r="B108" t="s">
        <v>175</v>
      </c>
      <c r="C108" t="s">
        <v>176</v>
      </c>
      <c r="D108" t="s">
        <v>68</v>
      </c>
      <c r="AK108">
        <v>15</v>
      </c>
      <c r="AR108">
        <v>2</v>
      </c>
      <c r="AY108">
        <v>4</v>
      </c>
      <c r="BN108">
        <f t="shared" si="75"/>
        <v>21</v>
      </c>
      <c r="BO108">
        <f t="shared" si="76"/>
        <v>0</v>
      </c>
      <c r="BP108">
        <f t="shared" si="77"/>
        <v>0</v>
      </c>
      <c r="BQ108">
        <f t="shared" si="78"/>
        <v>21</v>
      </c>
      <c r="BU108" s="8"/>
      <c r="BZ108" s="8"/>
      <c r="CD108" s="8"/>
    </row>
    <row r="109" spans="4:82" ht="15.75">
      <c r="D109" t="s">
        <v>70</v>
      </c>
      <c r="AK109">
        <v>3000</v>
      </c>
      <c r="AR109">
        <v>10</v>
      </c>
      <c r="AY109">
        <v>147</v>
      </c>
      <c r="BN109">
        <f t="shared" si="75"/>
        <v>3157</v>
      </c>
      <c r="BO109">
        <f t="shared" si="76"/>
        <v>0</v>
      </c>
      <c r="BP109">
        <f t="shared" si="77"/>
        <v>0</v>
      </c>
      <c r="BQ109">
        <f t="shared" si="78"/>
        <v>3157</v>
      </c>
      <c r="BU109" s="8"/>
      <c r="BZ109" s="8"/>
      <c r="CD109" s="8"/>
    </row>
    <row r="110" spans="2:82" ht="15.75">
      <c r="B110" t="s">
        <v>177</v>
      </c>
      <c r="C110" t="s">
        <v>178</v>
      </c>
      <c r="D110" t="s">
        <v>68</v>
      </c>
      <c r="AB110">
        <v>136</v>
      </c>
      <c r="AE110">
        <v>49</v>
      </c>
      <c r="AF110">
        <v>1</v>
      </c>
      <c r="AG110">
        <v>2</v>
      </c>
      <c r="AH110">
        <v>61</v>
      </c>
      <c r="AI110">
        <v>2</v>
      </c>
      <c r="AJ110">
        <v>26</v>
      </c>
      <c r="AK110">
        <v>15</v>
      </c>
      <c r="AL110">
        <v>14</v>
      </c>
      <c r="AM110">
        <v>5</v>
      </c>
      <c r="AN110">
        <v>9</v>
      </c>
      <c r="AO110">
        <v>33</v>
      </c>
      <c r="AP110">
        <f>1+108</f>
        <v>109</v>
      </c>
      <c r="AQ110">
        <v>36</v>
      </c>
      <c r="AR110">
        <v>37</v>
      </c>
      <c r="AS110">
        <v>132</v>
      </c>
      <c r="AT110">
        <v>17</v>
      </c>
      <c r="AU110">
        <v>94</v>
      </c>
      <c r="AV110">
        <v>376</v>
      </c>
      <c r="AW110">
        <v>12</v>
      </c>
      <c r="AX110">
        <v>13</v>
      </c>
      <c r="AY110">
        <v>3</v>
      </c>
      <c r="AZ110">
        <v>7</v>
      </c>
      <c r="BA110">
        <v>1</v>
      </c>
      <c r="BB110">
        <v>6</v>
      </c>
      <c r="BE110">
        <v>1</v>
      </c>
      <c r="BH110">
        <v>3</v>
      </c>
      <c r="BI110">
        <v>44</v>
      </c>
      <c r="BJ110">
        <v>24</v>
      </c>
      <c r="BK110">
        <v>79</v>
      </c>
      <c r="BL110">
        <v>34</v>
      </c>
      <c r="BM110">
        <v>15</v>
      </c>
      <c r="BN110">
        <f t="shared" si="75"/>
        <v>1196</v>
      </c>
      <c r="BO110">
        <f t="shared" si="76"/>
        <v>1</v>
      </c>
      <c r="BP110">
        <f t="shared" si="77"/>
        <v>199</v>
      </c>
      <c r="BQ110">
        <f t="shared" si="78"/>
        <v>1396</v>
      </c>
      <c r="BU110" s="8"/>
      <c r="BZ110" s="8"/>
      <c r="CD110" s="8"/>
    </row>
    <row r="111" spans="4:82" ht="15.75">
      <c r="D111" t="s">
        <v>70</v>
      </c>
      <c r="AB111">
        <v>4162</v>
      </c>
      <c r="AE111">
        <v>1653</v>
      </c>
      <c r="AF111">
        <v>63</v>
      </c>
      <c r="AG111">
        <v>31</v>
      </c>
      <c r="AH111">
        <v>976</v>
      </c>
      <c r="AI111">
        <v>118</v>
      </c>
      <c r="AJ111">
        <v>522</v>
      </c>
      <c r="AK111">
        <v>84</v>
      </c>
      <c r="AL111">
        <v>516</v>
      </c>
      <c r="AM111">
        <v>213</v>
      </c>
      <c r="AN111">
        <v>190</v>
      </c>
      <c r="AO111">
        <v>634</v>
      </c>
      <c r="AP111">
        <f>3+1515</f>
        <v>1518</v>
      </c>
      <c r="AQ111">
        <v>433</v>
      </c>
      <c r="AR111">
        <v>401</v>
      </c>
      <c r="AS111">
        <v>2051</v>
      </c>
      <c r="AT111">
        <v>370</v>
      </c>
      <c r="AU111">
        <v>259</v>
      </c>
      <c r="AV111">
        <v>1378</v>
      </c>
      <c r="AW111">
        <v>193</v>
      </c>
      <c r="AX111">
        <v>611</v>
      </c>
      <c r="AY111">
        <v>75</v>
      </c>
      <c r="AZ111">
        <v>36</v>
      </c>
      <c r="BA111">
        <v>13</v>
      </c>
      <c r="BB111">
        <v>1039</v>
      </c>
      <c r="BE111">
        <v>8</v>
      </c>
      <c r="BH111">
        <v>36</v>
      </c>
      <c r="BI111">
        <v>819</v>
      </c>
      <c r="BJ111">
        <v>1122</v>
      </c>
      <c r="BK111">
        <v>1459</v>
      </c>
      <c r="BL111">
        <v>622</v>
      </c>
      <c r="BM111">
        <v>1500</v>
      </c>
      <c r="BN111">
        <f t="shared" si="75"/>
        <v>17539</v>
      </c>
      <c r="BO111">
        <f t="shared" si="76"/>
        <v>8</v>
      </c>
      <c r="BP111">
        <f t="shared" si="77"/>
        <v>5558</v>
      </c>
      <c r="BQ111">
        <f t="shared" si="78"/>
        <v>23105</v>
      </c>
      <c r="BU111" s="8"/>
      <c r="BZ111" s="8"/>
      <c r="CD111" s="8"/>
    </row>
    <row r="112" spans="2:82" ht="15.75">
      <c r="B112" t="s">
        <v>179</v>
      </c>
      <c r="C112" t="s">
        <v>180</v>
      </c>
      <c r="D112" t="s">
        <v>68</v>
      </c>
      <c r="AB112">
        <v>3</v>
      </c>
      <c r="AD112">
        <v>8</v>
      </c>
      <c r="AE112">
        <v>2</v>
      </c>
      <c r="AF112">
        <v>2</v>
      </c>
      <c r="AG112">
        <v>4</v>
      </c>
      <c r="AH112">
        <v>1</v>
      </c>
      <c r="AI112">
        <v>10</v>
      </c>
      <c r="AJ112">
        <v>24</v>
      </c>
      <c r="AK112">
        <v>2</v>
      </c>
      <c r="AL112">
        <v>4</v>
      </c>
      <c r="AM112">
        <v>8</v>
      </c>
      <c r="AN112">
        <v>1</v>
      </c>
      <c r="AO112">
        <v>2</v>
      </c>
      <c r="AP112">
        <v>8</v>
      </c>
      <c r="AQ112">
        <v>17</v>
      </c>
      <c r="AR112">
        <v>4</v>
      </c>
      <c r="AS112">
        <v>1</v>
      </c>
      <c r="AT112">
        <v>7</v>
      </c>
      <c r="AU112">
        <v>4</v>
      </c>
      <c r="AV112">
        <v>3</v>
      </c>
      <c r="AW112">
        <v>2</v>
      </c>
      <c r="AX112">
        <v>3</v>
      </c>
      <c r="AY112">
        <v>3</v>
      </c>
      <c r="AZ112">
        <v>1</v>
      </c>
      <c r="BA112">
        <v>4</v>
      </c>
      <c r="BB112">
        <v>6</v>
      </c>
      <c r="BC112">
        <v>7</v>
      </c>
      <c r="BD112">
        <v>1</v>
      </c>
      <c r="BF112">
        <v>1</v>
      </c>
      <c r="BG112">
        <v>1</v>
      </c>
      <c r="BH112">
        <v>6</v>
      </c>
      <c r="BI112">
        <v>8</v>
      </c>
      <c r="BJ112">
        <v>1</v>
      </c>
      <c r="BN112">
        <f t="shared" si="75"/>
        <v>141</v>
      </c>
      <c r="BO112">
        <f t="shared" si="76"/>
        <v>3</v>
      </c>
      <c r="BP112">
        <f t="shared" si="77"/>
        <v>15</v>
      </c>
      <c r="BQ112">
        <f t="shared" si="78"/>
        <v>159</v>
      </c>
      <c r="BU112" s="8"/>
      <c r="BZ112" s="8"/>
      <c r="CD112" s="8"/>
    </row>
    <row r="113" spans="4:82" ht="15.75">
      <c r="D113" t="s">
        <v>70</v>
      </c>
      <c r="AB113">
        <v>49</v>
      </c>
      <c r="AD113">
        <v>122</v>
      </c>
      <c r="AE113">
        <v>12</v>
      </c>
      <c r="AF113">
        <v>16</v>
      </c>
      <c r="AG113">
        <v>80</v>
      </c>
      <c r="AH113">
        <v>34</v>
      </c>
      <c r="AI113">
        <v>442</v>
      </c>
      <c r="AJ113">
        <v>99</v>
      </c>
      <c r="AK113">
        <v>37</v>
      </c>
      <c r="AL113">
        <v>79</v>
      </c>
      <c r="AM113">
        <v>159</v>
      </c>
      <c r="AN113">
        <v>10</v>
      </c>
      <c r="AO113">
        <v>53</v>
      </c>
      <c r="AP113">
        <v>63</v>
      </c>
      <c r="AQ113">
        <v>117</v>
      </c>
      <c r="AR113">
        <v>99</v>
      </c>
      <c r="AS113">
        <v>12</v>
      </c>
      <c r="AT113">
        <v>39</v>
      </c>
      <c r="AU113">
        <v>28</v>
      </c>
      <c r="AV113">
        <v>8</v>
      </c>
      <c r="AW113">
        <v>12</v>
      </c>
      <c r="AX113">
        <v>23</v>
      </c>
      <c r="AY113">
        <v>53</v>
      </c>
      <c r="AZ113">
        <v>7</v>
      </c>
      <c r="BA113">
        <v>15</v>
      </c>
      <c r="BB113">
        <v>42</v>
      </c>
      <c r="BC113">
        <v>57</v>
      </c>
      <c r="BD113">
        <v>6</v>
      </c>
      <c r="BF113">
        <v>22</v>
      </c>
      <c r="BG113">
        <v>12</v>
      </c>
      <c r="BH113">
        <v>50</v>
      </c>
      <c r="BI113">
        <v>63</v>
      </c>
      <c r="BJ113">
        <v>14</v>
      </c>
      <c r="BN113">
        <f t="shared" si="75"/>
        <v>1767</v>
      </c>
      <c r="BO113">
        <f t="shared" si="76"/>
        <v>40</v>
      </c>
      <c r="BP113">
        <f t="shared" si="77"/>
        <v>127</v>
      </c>
      <c r="BQ113">
        <f t="shared" si="78"/>
        <v>1934</v>
      </c>
      <c r="BU113" s="8"/>
      <c r="BZ113" s="8"/>
      <c r="CD113" s="8"/>
    </row>
    <row r="114" spans="1:82" ht="15.75">
      <c r="A114" s="15" t="s">
        <v>167</v>
      </c>
      <c r="C114" t="s">
        <v>134</v>
      </c>
      <c r="D114" t="s">
        <v>68</v>
      </c>
      <c r="E114">
        <v>9813</v>
      </c>
      <c r="G114">
        <v>607</v>
      </c>
      <c r="H114">
        <v>443</v>
      </c>
      <c r="I114">
        <v>161</v>
      </c>
      <c r="J114">
        <v>276</v>
      </c>
      <c r="K114">
        <v>295</v>
      </c>
      <c r="L114">
        <v>171</v>
      </c>
      <c r="M114">
        <v>152</v>
      </c>
      <c r="N114">
        <v>456</v>
      </c>
      <c r="O114">
        <v>2282</v>
      </c>
      <c r="P114">
        <v>1077</v>
      </c>
      <c r="Q114">
        <v>407</v>
      </c>
      <c r="R114">
        <v>1011</v>
      </c>
      <c r="S114">
        <v>77</v>
      </c>
      <c r="T114">
        <v>260</v>
      </c>
      <c r="U114">
        <v>1613</v>
      </c>
      <c r="V114">
        <v>29</v>
      </c>
      <c r="W114">
        <v>256</v>
      </c>
      <c r="X114">
        <v>240</v>
      </c>
      <c r="Y114">
        <f>SUM(G114:X114)</f>
        <v>9813</v>
      </c>
      <c r="Z114">
        <f>SUM(G114:T114)</f>
        <v>7675</v>
      </c>
      <c r="AB114">
        <f>AB102+AB104+AB106+AB108+AB110+AB112</f>
        <v>150</v>
      </c>
      <c r="AD114">
        <f aca="true" t="shared" si="79" ref="AD114:BM114">AD102+AD104+AD106+AD108+AD110+AD112</f>
        <v>12</v>
      </c>
      <c r="AE114">
        <f t="shared" si="79"/>
        <v>58</v>
      </c>
      <c r="AF114">
        <f t="shared" si="79"/>
        <v>7</v>
      </c>
      <c r="AG114">
        <f t="shared" si="79"/>
        <v>9</v>
      </c>
      <c r="AH114">
        <f t="shared" si="79"/>
        <v>67</v>
      </c>
      <c r="AI114">
        <f t="shared" si="79"/>
        <v>21</v>
      </c>
      <c r="AJ114">
        <f t="shared" si="79"/>
        <v>52</v>
      </c>
      <c r="AK114">
        <f t="shared" si="79"/>
        <v>34</v>
      </c>
      <c r="AL114">
        <f t="shared" si="79"/>
        <v>40</v>
      </c>
      <c r="AM114">
        <f t="shared" si="79"/>
        <v>21</v>
      </c>
      <c r="AN114">
        <f t="shared" si="79"/>
        <v>23</v>
      </c>
      <c r="AO114">
        <f t="shared" si="79"/>
        <v>49</v>
      </c>
      <c r="AP114">
        <f t="shared" si="79"/>
        <v>150</v>
      </c>
      <c r="AQ114">
        <f t="shared" si="79"/>
        <v>71</v>
      </c>
      <c r="AR114">
        <f t="shared" si="79"/>
        <v>57</v>
      </c>
      <c r="AS114">
        <f t="shared" si="79"/>
        <v>166</v>
      </c>
      <c r="AT114">
        <f t="shared" si="79"/>
        <v>26</v>
      </c>
      <c r="AU114">
        <f t="shared" si="79"/>
        <v>101</v>
      </c>
      <c r="AV114">
        <f t="shared" si="79"/>
        <v>395</v>
      </c>
      <c r="AW114">
        <f t="shared" si="79"/>
        <v>22</v>
      </c>
      <c r="AX114">
        <f t="shared" si="79"/>
        <v>17</v>
      </c>
      <c r="AY114">
        <f t="shared" si="79"/>
        <v>17</v>
      </c>
      <c r="AZ114">
        <f t="shared" si="79"/>
        <v>12</v>
      </c>
      <c r="BA114">
        <f t="shared" si="79"/>
        <v>7</v>
      </c>
      <c r="BB114">
        <f t="shared" si="79"/>
        <v>19</v>
      </c>
      <c r="BC114">
        <f t="shared" si="79"/>
        <v>10</v>
      </c>
      <c r="BD114">
        <f t="shared" si="79"/>
        <v>6</v>
      </c>
      <c r="BE114">
        <f t="shared" si="79"/>
        <v>6</v>
      </c>
      <c r="BF114">
        <f t="shared" si="79"/>
        <v>4</v>
      </c>
      <c r="BG114">
        <f t="shared" si="79"/>
        <v>13</v>
      </c>
      <c r="BH114">
        <f t="shared" si="79"/>
        <v>15</v>
      </c>
      <c r="BI114">
        <f t="shared" si="79"/>
        <v>71</v>
      </c>
      <c r="BJ114">
        <f t="shared" si="79"/>
        <v>29</v>
      </c>
      <c r="BK114">
        <f t="shared" si="79"/>
        <v>86</v>
      </c>
      <c r="BL114">
        <f t="shared" si="79"/>
        <v>36</v>
      </c>
      <c r="BM114">
        <f t="shared" si="79"/>
        <v>19</v>
      </c>
      <c r="BN114">
        <f t="shared" si="75"/>
        <v>1613</v>
      </c>
      <c r="BO114">
        <f t="shared" si="76"/>
        <v>29</v>
      </c>
      <c r="BP114">
        <f t="shared" si="77"/>
        <v>256</v>
      </c>
      <c r="BQ114">
        <f t="shared" si="78"/>
        <v>1898</v>
      </c>
      <c r="BU114" s="8"/>
      <c r="BZ114" s="8"/>
      <c r="CD114" s="8"/>
    </row>
    <row r="115" spans="4:82" ht="15.75">
      <c r="D115" t="s">
        <v>70</v>
      </c>
      <c r="E115">
        <v>525178</v>
      </c>
      <c r="G115">
        <v>91740</v>
      </c>
      <c r="H115">
        <v>21955</v>
      </c>
      <c r="I115">
        <v>11492</v>
      </c>
      <c r="J115">
        <v>11490</v>
      </c>
      <c r="K115">
        <v>6796</v>
      </c>
      <c r="L115">
        <v>5170</v>
      </c>
      <c r="M115">
        <v>4953</v>
      </c>
      <c r="N115">
        <v>7604</v>
      </c>
      <c r="O115">
        <v>185851</v>
      </c>
      <c r="P115">
        <v>68975</v>
      </c>
      <c r="Q115">
        <v>18520</v>
      </c>
      <c r="R115">
        <v>33598</v>
      </c>
      <c r="S115">
        <v>3962</v>
      </c>
      <c r="T115">
        <v>2262</v>
      </c>
      <c r="U115">
        <v>36099</v>
      </c>
      <c r="V115">
        <v>1070</v>
      </c>
      <c r="W115">
        <v>7018</v>
      </c>
      <c r="X115">
        <v>6623</v>
      </c>
      <c r="Y115">
        <f>SUM(G115:X115)</f>
        <v>525178</v>
      </c>
      <c r="Z115">
        <f>SUM(G115:T115)</f>
        <v>474368</v>
      </c>
      <c r="AB115">
        <f>AB103+AB105+AB107+AB109+AB111+AB113</f>
        <v>7772</v>
      </c>
      <c r="AD115">
        <f aca="true" t="shared" si="80" ref="AD115:BM115">AD103+AD105+AD107+AD109+AD111+AD113</f>
        <v>469</v>
      </c>
      <c r="AE115">
        <f t="shared" si="80"/>
        <v>1785</v>
      </c>
      <c r="AF115">
        <f t="shared" si="80"/>
        <v>133</v>
      </c>
      <c r="AG115">
        <f t="shared" si="80"/>
        <v>227</v>
      </c>
      <c r="AH115">
        <f t="shared" si="80"/>
        <v>1237</v>
      </c>
      <c r="AI115">
        <f t="shared" si="80"/>
        <v>1188</v>
      </c>
      <c r="AJ115">
        <f t="shared" si="80"/>
        <v>654</v>
      </c>
      <c r="AK115">
        <f t="shared" si="80"/>
        <v>3126</v>
      </c>
      <c r="AL115">
        <f t="shared" si="80"/>
        <v>1570</v>
      </c>
      <c r="AM115">
        <f t="shared" si="80"/>
        <v>1321</v>
      </c>
      <c r="AN115">
        <f t="shared" si="80"/>
        <v>661</v>
      </c>
      <c r="AO115">
        <f t="shared" si="80"/>
        <v>1423</v>
      </c>
      <c r="AP115">
        <f t="shared" si="80"/>
        <v>2861</v>
      </c>
      <c r="AQ115">
        <f t="shared" si="80"/>
        <v>1219</v>
      </c>
      <c r="AR115">
        <f t="shared" si="80"/>
        <v>745</v>
      </c>
      <c r="AS115">
        <f t="shared" si="80"/>
        <v>2511</v>
      </c>
      <c r="AT115">
        <f t="shared" si="80"/>
        <v>486</v>
      </c>
      <c r="AU115">
        <f t="shared" si="80"/>
        <v>300</v>
      </c>
      <c r="AV115">
        <f t="shared" si="80"/>
        <v>1560</v>
      </c>
      <c r="AW115">
        <f t="shared" si="80"/>
        <v>313</v>
      </c>
      <c r="AX115">
        <f t="shared" si="80"/>
        <v>1450</v>
      </c>
      <c r="AY115">
        <f t="shared" si="80"/>
        <v>605</v>
      </c>
      <c r="AZ115">
        <f t="shared" si="80"/>
        <v>165</v>
      </c>
      <c r="BA115">
        <f t="shared" si="80"/>
        <v>101</v>
      </c>
      <c r="BB115">
        <f t="shared" si="80"/>
        <v>2001</v>
      </c>
      <c r="BC115">
        <f t="shared" si="80"/>
        <v>216</v>
      </c>
      <c r="BD115">
        <f t="shared" si="80"/>
        <v>254</v>
      </c>
      <c r="BE115">
        <f t="shared" si="80"/>
        <v>98</v>
      </c>
      <c r="BF115">
        <f t="shared" si="80"/>
        <v>237</v>
      </c>
      <c r="BG115">
        <f t="shared" si="80"/>
        <v>481</v>
      </c>
      <c r="BH115">
        <f t="shared" si="80"/>
        <v>255</v>
      </c>
      <c r="BI115">
        <f t="shared" si="80"/>
        <v>1126</v>
      </c>
      <c r="BJ115">
        <f t="shared" si="80"/>
        <v>1351</v>
      </c>
      <c r="BK115">
        <f t="shared" si="80"/>
        <v>1820</v>
      </c>
      <c r="BL115">
        <f t="shared" si="80"/>
        <v>858</v>
      </c>
      <c r="BM115">
        <f t="shared" si="80"/>
        <v>1608</v>
      </c>
      <c r="BN115">
        <f t="shared" si="75"/>
        <v>36099</v>
      </c>
      <c r="BO115">
        <f t="shared" si="76"/>
        <v>1070</v>
      </c>
      <c r="BP115">
        <f t="shared" si="77"/>
        <v>7018</v>
      </c>
      <c r="BQ115">
        <f t="shared" si="78"/>
        <v>44187</v>
      </c>
      <c r="BU115" s="8"/>
      <c r="BZ115" s="8"/>
      <c r="CD115" s="8"/>
    </row>
    <row r="116" spans="2:82" ht="15.75">
      <c r="B116" s="3" t="s">
        <v>181</v>
      </c>
      <c r="D116" s="3" t="s">
        <v>68</v>
      </c>
      <c r="E116" s="3">
        <f>E66+E99+E104</f>
        <v>86142</v>
      </c>
      <c r="F116" s="3"/>
      <c r="G116" s="3">
        <f aca="true" t="shared" si="81" ref="G116:Z116">G66+G99+G104</f>
        <v>6240</v>
      </c>
      <c r="H116" s="3">
        <f t="shared" si="81"/>
        <v>4179</v>
      </c>
      <c r="I116" s="3">
        <f t="shared" si="81"/>
        <v>874</v>
      </c>
      <c r="J116" s="3">
        <f t="shared" si="81"/>
        <v>4204</v>
      </c>
      <c r="K116" s="3">
        <f t="shared" si="81"/>
        <v>1511</v>
      </c>
      <c r="L116" s="3">
        <f t="shared" si="81"/>
        <v>2436</v>
      </c>
      <c r="M116" s="3">
        <f t="shared" si="81"/>
        <v>742</v>
      </c>
      <c r="N116" s="3">
        <f t="shared" si="81"/>
        <v>3560</v>
      </c>
      <c r="O116" s="3">
        <f t="shared" si="81"/>
        <v>18421</v>
      </c>
      <c r="P116" s="3">
        <f t="shared" si="81"/>
        <v>6785</v>
      </c>
      <c r="Q116" s="3">
        <f t="shared" si="81"/>
        <v>1760</v>
      </c>
      <c r="R116" s="3">
        <f t="shared" si="81"/>
        <v>5032</v>
      </c>
      <c r="S116" s="3">
        <f t="shared" si="81"/>
        <v>374</v>
      </c>
      <c r="T116" s="3">
        <f t="shared" si="81"/>
        <v>746</v>
      </c>
      <c r="U116" s="3">
        <f t="shared" si="81"/>
        <v>20142</v>
      </c>
      <c r="V116" s="3">
        <f t="shared" si="81"/>
        <v>1259</v>
      </c>
      <c r="W116" s="3">
        <f t="shared" si="81"/>
        <v>1586</v>
      </c>
      <c r="X116" s="3">
        <f t="shared" si="81"/>
        <v>6291</v>
      </c>
      <c r="Y116" s="3">
        <f t="shared" si="81"/>
        <v>86142</v>
      </c>
      <c r="Z116" s="3">
        <f t="shared" si="81"/>
        <v>56864</v>
      </c>
      <c r="AA116" s="3"/>
      <c r="AB116" s="3">
        <f>AB66+AB99+AB104</f>
        <v>638</v>
      </c>
      <c r="AC116" s="3"/>
      <c r="AD116" s="3">
        <f aca="true" t="shared" si="82" ref="AD116:BQ116">AD66+AD99+AD104</f>
        <v>788</v>
      </c>
      <c r="AE116" s="3">
        <f t="shared" si="82"/>
        <v>486</v>
      </c>
      <c r="AF116" s="3">
        <f t="shared" si="82"/>
        <v>988</v>
      </c>
      <c r="AG116" s="3">
        <f t="shared" si="82"/>
        <v>1086</v>
      </c>
      <c r="AH116" s="3">
        <f t="shared" si="82"/>
        <v>405</v>
      </c>
      <c r="AI116" s="3">
        <f t="shared" si="82"/>
        <v>690</v>
      </c>
      <c r="AJ116" s="3">
        <f t="shared" si="82"/>
        <v>619</v>
      </c>
      <c r="AK116" s="3">
        <f t="shared" si="82"/>
        <v>774</v>
      </c>
      <c r="AL116" s="3">
        <f t="shared" si="82"/>
        <v>767</v>
      </c>
      <c r="AM116" s="3">
        <f t="shared" si="82"/>
        <v>743</v>
      </c>
      <c r="AN116" s="3">
        <f t="shared" si="82"/>
        <v>813</v>
      </c>
      <c r="AO116" s="3">
        <f t="shared" si="82"/>
        <v>1348</v>
      </c>
      <c r="AP116" s="3">
        <f t="shared" si="82"/>
        <v>1492</v>
      </c>
      <c r="AQ116" s="3">
        <f t="shared" si="82"/>
        <v>1386</v>
      </c>
      <c r="AR116" s="3">
        <f t="shared" si="82"/>
        <v>727</v>
      </c>
      <c r="AS116" s="3">
        <f t="shared" si="82"/>
        <v>788</v>
      </c>
      <c r="AT116" s="3">
        <f t="shared" si="82"/>
        <v>197</v>
      </c>
      <c r="AU116" s="3">
        <f t="shared" si="82"/>
        <v>350</v>
      </c>
      <c r="AV116" s="3">
        <f t="shared" si="82"/>
        <v>517</v>
      </c>
      <c r="AW116" s="3">
        <f t="shared" si="82"/>
        <v>526</v>
      </c>
      <c r="AX116" s="3">
        <f t="shared" si="82"/>
        <v>95</v>
      </c>
      <c r="AY116" s="3">
        <f t="shared" si="82"/>
        <v>733</v>
      </c>
      <c r="AZ116" s="3">
        <f t="shared" si="82"/>
        <v>630</v>
      </c>
      <c r="BA116" s="3">
        <f t="shared" si="82"/>
        <v>632</v>
      </c>
      <c r="BB116" s="3">
        <f t="shared" si="82"/>
        <v>1469</v>
      </c>
      <c r="BC116" s="3">
        <f t="shared" si="82"/>
        <v>463</v>
      </c>
      <c r="BD116" s="3">
        <f t="shared" si="82"/>
        <v>401</v>
      </c>
      <c r="BE116" s="3">
        <f t="shared" si="82"/>
        <v>137</v>
      </c>
      <c r="BF116" s="3">
        <f t="shared" si="82"/>
        <v>90</v>
      </c>
      <c r="BG116" s="3">
        <f t="shared" si="82"/>
        <v>631</v>
      </c>
      <c r="BH116" s="3">
        <f t="shared" si="82"/>
        <v>290</v>
      </c>
      <c r="BI116" s="3">
        <f t="shared" si="82"/>
        <v>214</v>
      </c>
      <c r="BJ116" s="3">
        <f t="shared" si="82"/>
        <v>17</v>
      </c>
      <c r="BK116" s="3">
        <f t="shared" si="82"/>
        <v>374</v>
      </c>
      <c r="BL116" s="3">
        <f t="shared" si="82"/>
        <v>193</v>
      </c>
      <c r="BM116" s="3">
        <f t="shared" si="82"/>
        <v>501</v>
      </c>
      <c r="BN116" s="3">
        <f t="shared" si="82"/>
        <v>20150</v>
      </c>
      <c r="BO116" s="3">
        <f t="shared" si="82"/>
        <v>1259</v>
      </c>
      <c r="BP116" s="3">
        <f t="shared" si="82"/>
        <v>1589</v>
      </c>
      <c r="BQ116" s="3">
        <f t="shared" si="82"/>
        <v>22998</v>
      </c>
      <c r="BU116" s="8"/>
      <c r="BZ116" s="8"/>
      <c r="CD116" s="8"/>
    </row>
    <row r="117" spans="4:82" ht="15.75">
      <c r="D117" s="3" t="s">
        <v>70</v>
      </c>
      <c r="E117" s="3">
        <f>E67+E100+E105</f>
        <v>1407300</v>
      </c>
      <c r="F117" s="3"/>
      <c r="G117" s="3">
        <f aca="true" t="shared" si="83" ref="G117:Z117">G67+G100+G105</f>
        <v>256310</v>
      </c>
      <c r="H117" s="3">
        <f t="shared" si="83"/>
        <v>59297</v>
      </c>
      <c r="I117" s="3">
        <f t="shared" si="83"/>
        <v>10507</v>
      </c>
      <c r="J117" s="3">
        <f t="shared" si="83"/>
        <v>54700</v>
      </c>
      <c r="K117" s="3">
        <f t="shared" si="83"/>
        <v>15753</v>
      </c>
      <c r="L117" s="3">
        <f t="shared" si="83"/>
        <v>21018</v>
      </c>
      <c r="M117" s="3">
        <f t="shared" si="83"/>
        <v>22095</v>
      </c>
      <c r="N117" s="3">
        <f t="shared" si="83"/>
        <v>16461</v>
      </c>
      <c r="O117" s="3">
        <f t="shared" si="83"/>
        <v>356582</v>
      </c>
      <c r="P117" s="3">
        <f t="shared" si="83"/>
        <v>171278</v>
      </c>
      <c r="Q117" s="3">
        <f t="shared" si="83"/>
        <v>43978</v>
      </c>
      <c r="R117" s="3">
        <f t="shared" si="83"/>
        <v>44730</v>
      </c>
      <c r="S117" s="3">
        <f t="shared" si="83"/>
        <v>3627</v>
      </c>
      <c r="T117" s="3">
        <f t="shared" si="83"/>
        <v>3893</v>
      </c>
      <c r="U117" s="3">
        <f t="shared" si="83"/>
        <v>245830</v>
      </c>
      <c r="V117" s="3">
        <f t="shared" si="83"/>
        <v>13135</v>
      </c>
      <c r="W117" s="3">
        <f t="shared" si="83"/>
        <v>17937</v>
      </c>
      <c r="X117" s="3">
        <f t="shared" si="83"/>
        <v>50169</v>
      </c>
      <c r="Y117" s="3">
        <f t="shared" si="83"/>
        <v>1407300</v>
      </c>
      <c r="Z117" s="3">
        <f t="shared" si="83"/>
        <v>1080229</v>
      </c>
      <c r="AA117" s="3"/>
      <c r="AB117" s="3">
        <f>AB67+AB100+AB105</f>
        <v>25831</v>
      </c>
      <c r="AC117" s="3"/>
      <c r="AD117" s="3">
        <f aca="true" t="shared" si="84" ref="AD117:BQ117">AD67+AD100+AD105</f>
        <v>9582</v>
      </c>
      <c r="AE117" s="3">
        <f t="shared" si="84"/>
        <v>12736</v>
      </c>
      <c r="AF117" s="3">
        <f t="shared" si="84"/>
        <v>7372</v>
      </c>
      <c r="AG117" s="3">
        <f t="shared" si="84"/>
        <v>11713</v>
      </c>
      <c r="AH117" s="3">
        <f t="shared" si="84"/>
        <v>3348</v>
      </c>
      <c r="AI117" s="3">
        <f t="shared" si="84"/>
        <v>12242</v>
      </c>
      <c r="AJ117" s="3">
        <f t="shared" si="84"/>
        <v>4111</v>
      </c>
      <c r="AK117" s="3">
        <f t="shared" si="84"/>
        <v>8128</v>
      </c>
      <c r="AL117" s="3">
        <f t="shared" si="84"/>
        <v>17951</v>
      </c>
      <c r="AM117" s="3">
        <f t="shared" si="84"/>
        <v>20770</v>
      </c>
      <c r="AN117" s="3">
        <f t="shared" si="84"/>
        <v>11827</v>
      </c>
      <c r="AO117" s="3">
        <f t="shared" si="84"/>
        <v>20540</v>
      </c>
      <c r="AP117" s="3">
        <f t="shared" si="84"/>
        <v>12705</v>
      </c>
      <c r="AQ117" s="3">
        <f t="shared" si="84"/>
        <v>15091</v>
      </c>
      <c r="AR117" s="3">
        <f t="shared" si="84"/>
        <v>3833</v>
      </c>
      <c r="AS117" s="3">
        <f t="shared" si="84"/>
        <v>3483</v>
      </c>
      <c r="AT117" s="3">
        <f t="shared" si="84"/>
        <v>4196</v>
      </c>
      <c r="AU117" s="3">
        <f t="shared" si="84"/>
        <v>2079</v>
      </c>
      <c r="AV117" s="3">
        <f t="shared" si="84"/>
        <v>1824</v>
      </c>
      <c r="AW117" s="3">
        <f t="shared" si="84"/>
        <v>2918</v>
      </c>
      <c r="AX117" s="3">
        <f t="shared" si="84"/>
        <v>934</v>
      </c>
      <c r="AY117" s="3">
        <f t="shared" si="84"/>
        <v>9485</v>
      </c>
      <c r="AZ117" s="3">
        <f t="shared" si="84"/>
        <v>4923</v>
      </c>
      <c r="BA117" s="3">
        <f t="shared" si="84"/>
        <v>5678</v>
      </c>
      <c r="BB117" s="3">
        <f t="shared" si="84"/>
        <v>9370</v>
      </c>
      <c r="BC117" s="3">
        <f t="shared" si="84"/>
        <v>3408</v>
      </c>
      <c r="BD117" s="3">
        <f t="shared" si="84"/>
        <v>3449</v>
      </c>
      <c r="BE117" s="3">
        <f t="shared" si="84"/>
        <v>1037</v>
      </c>
      <c r="BF117" s="3">
        <f t="shared" si="84"/>
        <v>2327</v>
      </c>
      <c r="BG117" s="3">
        <f t="shared" si="84"/>
        <v>6322</v>
      </c>
      <c r="BH117" s="3">
        <f t="shared" si="84"/>
        <v>3550</v>
      </c>
      <c r="BI117" s="3">
        <f t="shared" si="84"/>
        <v>2547</v>
      </c>
      <c r="BJ117" s="3">
        <f t="shared" si="84"/>
        <v>160</v>
      </c>
      <c r="BK117" s="3">
        <f t="shared" si="84"/>
        <v>5093</v>
      </c>
      <c r="BL117" s="3">
        <f t="shared" si="84"/>
        <v>2545</v>
      </c>
      <c r="BM117" s="3">
        <f t="shared" si="84"/>
        <v>4056</v>
      </c>
      <c r="BN117" s="3">
        <f t="shared" si="84"/>
        <v>246078</v>
      </c>
      <c r="BO117" s="3">
        <f t="shared" si="84"/>
        <v>13135</v>
      </c>
      <c r="BP117" s="3">
        <f t="shared" si="84"/>
        <v>17951</v>
      </c>
      <c r="BQ117" s="3">
        <f t="shared" si="84"/>
        <v>277164</v>
      </c>
      <c r="BU117" s="8"/>
      <c r="BZ117" s="8"/>
      <c r="CD117" s="8"/>
    </row>
    <row r="118" spans="5:82" ht="15.75">
      <c r="E118" s="6">
        <f>E117/E116</f>
        <v>16.336978477397786</v>
      </c>
      <c r="F118" s="6"/>
      <c r="G118" s="6">
        <f aca="true" t="shared" si="85" ref="G118:Z118">G117/G116</f>
        <v>41.07532051282051</v>
      </c>
      <c r="H118" s="6">
        <f t="shared" si="85"/>
        <v>14.1892797319933</v>
      </c>
      <c r="I118" s="6">
        <f t="shared" si="85"/>
        <v>12.021739130434783</v>
      </c>
      <c r="J118" s="6">
        <f t="shared" si="85"/>
        <v>13.011417697431018</v>
      </c>
      <c r="K118" s="6">
        <f t="shared" si="85"/>
        <v>10.42554599602912</v>
      </c>
      <c r="L118" s="6">
        <f t="shared" si="85"/>
        <v>8.62807881773399</v>
      </c>
      <c r="M118" s="6">
        <f t="shared" si="85"/>
        <v>29.777628032345014</v>
      </c>
      <c r="N118" s="6">
        <f t="shared" si="85"/>
        <v>4.623876404494382</v>
      </c>
      <c r="O118" s="6">
        <f t="shared" si="85"/>
        <v>19.357363878182507</v>
      </c>
      <c r="P118" s="6">
        <f t="shared" si="85"/>
        <v>25.243625644804716</v>
      </c>
      <c r="Q118" s="6">
        <f t="shared" si="85"/>
        <v>24.9875</v>
      </c>
      <c r="R118" s="6">
        <f t="shared" si="85"/>
        <v>8.889109697933227</v>
      </c>
      <c r="S118" s="6">
        <f t="shared" si="85"/>
        <v>9.697860962566844</v>
      </c>
      <c r="T118" s="6">
        <f t="shared" si="85"/>
        <v>5.218498659517426</v>
      </c>
      <c r="U118" s="6">
        <f t="shared" si="85"/>
        <v>12.204845596266507</v>
      </c>
      <c r="V118" s="6">
        <f t="shared" si="85"/>
        <v>10.432883240667197</v>
      </c>
      <c r="W118" s="6">
        <f t="shared" si="85"/>
        <v>11.309583858764187</v>
      </c>
      <c r="X118" s="6">
        <f t="shared" si="85"/>
        <v>7.974725798760134</v>
      </c>
      <c r="Y118" s="6">
        <f t="shared" si="85"/>
        <v>16.336978477397786</v>
      </c>
      <c r="Z118" s="6">
        <f t="shared" si="85"/>
        <v>18.9967114518852</v>
      </c>
      <c r="AA118" s="6"/>
      <c r="AB118" s="6">
        <f>AB117/AB116</f>
        <v>40.48746081504702</v>
      </c>
      <c r="AC118" s="6"/>
      <c r="AD118" s="6">
        <f aca="true" t="shared" si="86" ref="AD118:BQ118">AD117/AD116</f>
        <v>12.15989847715736</v>
      </c>
      <c r="AE118" s="6">
        <f t="shared" si="86"/>
        <v>26.20576131687243</v>
      </c>
      <c r="AF118" s="6">
        <f t="shared" si="86"/>
        <v>7.461538461538462</v>
      </c>
      <c r="AG118" s="6">
        <f t="shared" si="86"/>
        <v>10.785451197053407</v>
      </c>
      <c r="AH118" s="6">
        <f t="shared" si="86"/>
        <v>8.266666666666667</v>
      </c>
      <c r="AI118" s="6">
        <f t="shared" si="86"/>
        <v>17.742028985507247</v>
      </c>
      <c r="AJ118" s="6">
        <f t="shared" si="86"/>
        <v>6.641357027463651</v>
      </c>
      <c r="AK118" s="6">
        <f t="shared" si="86"/>
        <v>10.501291989664082</v>
      </c>
      <c r="AL118" s="6">
        <f t="shared" si="86"/>
        <v>23.404172099087354</v>
      </c>
      <c r="AM118" s="6">
        <f t="shared" si="86"/>
        <v>27.954239569313593</v>
      </c>
      <c r="AN118" s="6">
        <f t="shared" si="86"/>
        <v>14.547355473554736</v>
      </c>
      <c r="AO118" s="6">
        <f t="shared" si="86"/>
        <v>15.237388724035608</v>
      </c>
      <c r="AP118" s="6">
        <f t="shared" si="86"/>
        <v>8.515415549597856</v>
      </c>
      <c r="AQ118" s="6">
        <f t="shared" si="86"/>
        <v>10.888167388167389</v>
      </c>
      <c r="AR118" s="6">
        <f t="shared" si="86"/>
        <v>5.272352132049519</v>
      </c>
      <c r="AS118" s="6">
        <f t="shared" si="86"/>
        <v>4.42005076142132</v>
      </c>
      <c r="AT118" s="6">
        <f t="shared" si="86"/>
        <v>21.299492385786802</v>
      </c>
      <c r="AU118" s="6">
        <f t="shared" si="86"/>
        <v>5.94</v>
      </c>
      <c r="AV118" s="6">
        <f t="shared" si="86"/>
        <v>3.528046421663443</v>
      </c>
      <c r="AW118" s="6">
        <f t="shared" si="86"/>
        <v>5.547528517110266</v>
      </c>
      <c r="AX118" s="6">
        <f t="shared" si="86"/>
        <v>9.83157894736842</v>
      </c>
      <c r="AY118" s="6">
        <f t="shared" si="86"/>
        <v>12.939972714870395</v>
      </c>
      <c r="AZ118" s="6">
        <f t="shared" si="86"/>
        <v>7.814285714285714</v>
      </c>
      <c r="BA118" s="6">
        <f t="shared" si="86"/>
        <v>8.984177215189874</v>
      </c>
      <c r="BB118" s="6">
        <f t="shared" si="86"/>
        <v>6.378488767869299</v>
      </c>
      <c r="BC118" s="6">
        <f t="shared" si="86"/>
        <v>7.360691144708423</v>
      </c>
      <c r="BD118" s="6">
        <f t="shared" si="86"/>
        <v>8.600997506234414</v>
      </c>
      <c r="BE118" s="6">
        <f t="shared" si="86"/>
        <v>7.569343065693431</v>
      </c>
      <c r="BF118" s="6">
        <f t="shared" si="86"/>
        <v>25.855555555555554</v>
      </c>
      <c r="BG118" s="6">
        <f t="shared" si="86"/>
        <v>10.019017432646592</v>
      </c>
      <c r="BH118" s="6">
        <f t="shared" si="86"/>
        <v>12.241379310344827</v>
      </c>
      <c r="BI118" s="6">
        <f t="shared" si="86"/>
        <v>11.901869158878505</v>
      </c>
      <c r="BJ118" s="6">
        <f t="shared" si="86"/>
        <v>9.411764705882353</v>
      </c>
      <c r="BK118" s="6">
        <f t="shared" si="86"/>
        <v>13.617647058823529</v>
      </c>
      <c r="BL118" s="6">
        <f t="shared" si="86"/>
        <v>13.186528497409327</v>
      </c>
      <c r="BM118" s="6">
        <f t="shared" si="86"/>
        <v>8.095808383233534</v>
      </c>
      <c r="BN118" s="6">
        <f t="shared" si="86"/>
        <v>12.212307692307693</v>
      </c>
      <c r="BO118" s="6">
        <f t="shared" si="86"/>
        <v>10.432883240667197</v>
      </c>
      <c r="BP118" s="6">
        <f t="shared" si="86"/>
        <v>11.297042164883575</v>
      </c>
      <c r="BQ118" s="6">
        <f t="shared" si="86"/>
        <v>12.051656665797026</v>
      </c>
      <c r="BU118" s="8"/>
      <c r="BZ118" s="8"/>
      <c r="CD118" s="8"/>
    </row>
    <row r="119" spans="73:82" ht="15.75">
      <c r="BU119" s="8"/>
      <c r="BZ119" s="8"/>
      <c r="CD119" s="8"/>
    </row>
    <row r="120" spans="73:82" ht="15.75">
      <c r="BU120" s="8"/>
      <c r="BZ120" s="8"/>
      <c r="CD120" s="8"/>
    </row>
    <row r="121" spans="1:82" ht="15.75">
      <c r="A121" s="15" t="s">
        <v>182</v>
      </c>
      <c r="B121" t="s">
        <v>183</v>
      </c>
      <c r="C121" t="s">
        <v>184</v>
      </c>
      <c r="D121" t="s">
        <v>68</v>
      </c>
      <c r="E121">
        <v>1776</v>
      </c>
      <c r="G121">
        <v>320</v>
      </c>
      <c r="H121">
        <v>6</v>
      </c>
      <c r="J121">
        <v>1</v>
      </c>
      <c r="M121">
        <v>18</v>
      </c>
      <c r="N121">
        <v>249</v>
      </c>
      <c r="O121">
        <v>21</v>
      </c>
      <c r="P121">
        <v>3</v>
      </c>
      <c r="Q121">
        <v>1</v>
      </c>
      <c r="U121">
        <v>9</v>
      </c>
      <c r="V121">
        <v>1</v>
      </c>
      <c r="X121">
        <v>1147</v>
      </c>
      <c r="Y121">
        <f>SUM(G121:X121)</f>
        <v>1776</v>
      </c>
      <c r="Z121">
        <f>SUM(G121:T121)</f>
        <v>619</v>
      </c>
      <c r="AB121">
        <f>2+7</f>
        <v>9</v>
      </c>
      <c r="BG121">
        <v>1</v>
      </c>
      <c r="BN121">
        <f>SUM(AA121:BC121)</f>
        <v>9</v>
      </c>
      <c r="BO121">
        <f>SUM(BD121:BG121)</f>
        <v>1</v>
      </c>
      <c r="BP121">
        <f>SUM(BH121:BM121)</f>
        <v>0</v>
      </c>
      <c r="BQ121">
        <f>SUM(BN121:BP121)</f>
        <v>10</v>
      </c>
      <c r="BU121" s="8"/>
      <c r="BZ121" s="8"/>
      <c r="CD121" s="8"/>
    </row>
    <row r="122" spans="4:82" ht="15.75">
      <c r="D122" t="s">
        <v>70</v>
      </c>
      <c r="E122">
        <v>56613</v>
      </c>
      <c r="G122">
        <v>25882</v>
      </c>
      <c r="H122">
        <v>175</v>
      </c>
      <c r="J122">
        <v>21</v>
      </c>
      <c r="M122">
        <v>3524</v>
      </c>
      <c r="N122">
        <v>5930</v>
      </c>
      <c r="O122">
        <v>566</v>
      </c>
      <c r="P122">
        <v>127</v>
      </c>
      <c r="Q122">
        <v>196</v>
      </c>
      <c r="U122">
        <v>163</v>
      </c>
      <c r="V122">
        <v>59</v>
      </c>
      <c r="X122">
        <v>19968</v>
      </c>
      <c r="Y122">
        <f>SUM(G122:X122)</f>
        <v>56611</v>
      </c>
      <c r="Z122">
        <f>SUM(G122:T122)</f>
        <v>36421</v>
      </c>
      <c r="AB122">
        <f>13+152</f>
        <v>165</v>
      </c>
      <c r="BG122">
        <v>59</v>
      </c>
      <c r="BN122">
        <f>SUM(AA122:BC122)</f>
        <v>165</v>
      </c>
      <c r="BO122">
        <f>SUM(BD122:BG122)</f>
        <v>59</v>
      </c>
      <c r="BP122">
        <f>SUM(BH122:BM122)</f>
        <v>0</v>
      </c>
      <c r="BQ122">
        <f>SUM(BN122:BP122)</f>
        <v>224</v>
      </c>
      <c r="BU122" s="8"/>
      <c r="BZ122" s="8"/>
      <c r="CD122" s="8"/>
    </row>
    <row r="123" spans="1:82" ht="15.75">
      <c r="A123" s="15" t="s">
        <v>185</v>
      </c>
      <c r="B123" t="s">
        <v>186</v>
      </c>
      <c r="C123" t="s">
        <v>187</v>
      </c>
      <c r="BU123" s="8"/>
      <c r="BZ123" s="8"/>
      <c r="CD123" s="8"/>
    </row>
    <row r="124" spans="1:82" ht="15.75">
      <c r="A124" s="15" t="s">
        <v>188</v>
      </c>
      <c r="B124" t="s">
        <v>186</v>
      </c>
      <c r="C124" t="s">
        <v>187</v>
      </c>
      <c r="D124" t="s">
        <v>68</v>
      </c>
      <c r="Y124">
        <f aca="true" t="shared" si="87" ref="Y124:Y129">SUM(G124:X124)</f>
        <v>0</v>
      </c>
      <c r="Z124">
        <f aca="true" t="shared" si="88" ref="Z124:Z129">SUM(G124:T124)</f>
        <v>0</v>
      </c>
      <c r="AB124">
        <f>2+1+12</f>
        <v>15</v>
      </c>
      <c r="AD124">
        <v>2</v>
      </c>
      <c r="AE124">
        <f>8+3</f>
        <v>11</v>
      </c>
      <c r="AF124">
        <v>1</v>
      </c>
      <c r="AG124">
        <v>3</v>
      </c>
      <c r="AI124">
        <v>4</v>
      </c>
      <c r="AJ124">
        <v>1</v>
      </c>
      <c r="AK124">
        <v>2</v>
      </c>
      <c r="AL124">
        <v>7</v>
      </c>
      <c r="AM124">
        <v>3</v>
      </c>
      <c r="AO124">
        <f>7+1</f>
        <v>8</v>
      </c>
      <c r="AP124">
        <f>1+10</f>
        <v>11</v>
      </c>
      <c r="AQ124">
        <f>1+2</f>
        <v>3</v>
      </c>
      <c r="AR124">
        <f>1+4</f>
        <v>5</v>
      </c>
      <c r="AS124">
        <f>4+3</f>
        <v>7</v>
      </c>
      <c r="AU124">
        <v>3</v>
      </c>
      <c r="AV124">
        <v>1</v>
      </c>
      <c r="AX124">
        <v>2</v>
      </c>
      <c r="AY124">
        <v>1</v>
      </c>
      <c r="AZ124">
        <v>1</v>
      </c>
      <c r="BA124">
        <v>1</v>
      </c>
      <c r="BB124">
        <v>1</v>
      </c>
      <c r="BC124">
        <v>2</v>
      </c>
      <c r="BD124">
        <v>2</v>
      </c>
      <c r="BE124">
        <v>1</v>
      </c>
      <c r="BG124">
        <f>43+3</f>
        <v>46</v>
      </c>
      <c r="BH124">
        <f>1+6</f>
        <v>7</v>
      </c>
      <c r="BI124">
        <f>1+26+3</f>
        <v>30</v>
      </c>
      <c r="BK124">
        <v>1</v>
      </c>
      <c r="BL124">
        <v>1</v>
      </c>
      <c r="BN124">
        <f>SUM(AA124:BC124)</f>
        <v>95</v>
      </c>
      <c r="BO124">
        <f>SUM(BD124:BG124)</f>
        <v>49</v>
      </c>
      <c r="BP124">
        <f>SUM(BH124:BM124)</f>
        <v>39</v>
      </c>
      <c r="BQ124">
        <f>SUM(BN124:BP124)</f>
        <v>183</v>
      </c>
      <c r="BU124" s="8"/>
      <c r="BZ124" s="8"/>
      <c r="CD124" s="8"/>
    </row>
    <row r="125" spans="4:82" ht="15.75">
      <c r="D125" t="s">
        <v>70</v>
      </c>
      <c r="Y125">
        <f t="shared" si="87"/>
        <v>0</v>
      </c>
      <c r="Z125">
        <f t="shared" si="88"/>
        <v>0</v>
      </c>
      <c r="AB125">
        <f>6+3+231</f>
        <v>240</v>
      </c>
      <c r="AD125">
        <v>5</v>
      </c>
      <c r="AE125">
        <f>26+17</f>
        <v>43</v>
      </c>
      <c r="AF125">
        <v>6</v>
      </c>
      <c r="AG125">
        <v>21</v>
      </c>
      <c r="AI125">
        <v>36</v>
      </c>
      <c r="AJ125">
        <v>11</v>
      </c>
      <c r="AK125">
        <v>11</v>
      </c>
      <c r="AL125">
        <v>48</v>
      </c>
      <c r="AM125">
        <v>31</v>
      </c>
      <c r="AO125">
        <f>26+2</f>
        <v>28</v>
      </c>
      <c r="AP125">
        <f>2+43</f>
        <v>45</v>
      </c>
      <c r="AQ125">
        <f>4+10</f>
        <v>14</v>
      </c>
      <c r="AR125">
        <f>1+6</f>
        <v>7</v>
      </c>
      <c r="AS125">
        <f>5+5</f>
        <v>10</v>
      </c>
      <c r="AU125">
        <v>6</v>
      </c>
      <c r="AV125">
        <v>4</v>
      </c>
      <c r="AX125">
        <v>8</v>
      </c>
      <c r="AY125">
        <v>3</v>
      </c>
      <c r="AZ125">
        <v>1</v>
      </c>
      <c r="BA125">
        <v>6</v>
      </c>
      <c r="BB125">
        <v>1</v>
      </c>
      <c r="BC125">
        <v>7</v>
      </c>
      <c r="BD125">
        <v>2</v>
      </c>
      <c r="BE125">
        <v>1</v>
      </c>
      <c r="BG125">
        <f>113+16</f>
        <v>129</v>
      </c>
      <c r="BH125">
        <f>35+47</f>
        <v>82</v>
      </c>
      <c r="BI125">
        <f>20+319+16</f>
        <v>355</v>
      </c>
      <c r="BK125">
        <v>8</v>
      </c>
      <c r="BL125">
        <v>12</v>
      </c>
      <c r="BN125">
        <f>SUM(AA125:BC125)</f>
        <v>592</v>
      </c>
      <c r="BO125">
        <f>SUM(BD125:BG125)</f>
        <v>132</v>
      </c>
      <c r="BP125">
        <f>SUM(BH125:BM125)</f>
        <v>457</v>
      </c>
      <c r="BQ125">
        <f>SUM(BN125:BP125)</f>
        <v>1181</v>
      </c>
      <c r="BU125" s="8"/>
      <c r="BZ125" s="8"/>
      <c r="CD125" s="8"/>
    </row>
    <row r="126" spans="2:82" ht="15.75">
      <c r="B126" t="s">
        <v>189</v>
      </c>
      <c r="C126" t="s">
        <v>190</v>
      </c>
      <c r="D126" t="s">
        <v>68</v>
      </c>
      <c r="Y126">
        <f t="shared" si="87"/>
        <v>0</v>
      </c>
      <c r="Z126">
        <f t="shared" si="88"/>
        <v>0</v>
      </c>
      <c r="AD126">
        <v>27</v>
      </c>
      <c r="AE126">
        <v>119</v>
      </c>
      <c r="AK126">
        <v>1</v>
      </c>
      <c r="AL126">
        <v>18</v>
      </c>
      <c r="AM126">
        <v>289</v>
      </c>
      <c r="AP126">
        <v>31</v>
      </c>
      <c r="AQ126">
        <v>5</v>
      </c>
      <c r="AR126">
        <v>65</v>
      </c>
      <c r="AS126">
        <v>13</v>
      </c>
      <c r="AT126">
        <v>44</v>
      </c>
      <c r="AU126">
        <v>8</v>
      </c>
      <c r="AX126">
        <v>2</v>
      </c>
      <c r="BH126">
        <v>43</v>
      </c>
      <c r="BI126">
        <v>61</v>
      </c>
      <c r="BN126">
        <f>SUM(AA126:BC126)</f>
        <v>622</v>
      </c>
      <c r="BO126">
        <f>SUM(BD126:BG126)</f>
        <v>0</v>
      </c>
      <c r="BP126">
        <f>SUM(BH126:BM126)</f>
        <v>104</v>
      </c>
      <c r="BQ126">
        <f>SUM(BN126:BP126)</f>
        <v>726</v>
      </c>
      <c r="BU126" s="8"/>
      <c r="BZ126" s="8"/>
      <c r="CD126" s="8"/>
    </row>
    <row r="127" spans="4:82" ht="15.75">
      <c r="D127" t="s">
        <v>70</v>
      </c>
      <c r="Y127">
        <f t="shared" si="87"/>
        <v>0</v>
      </c>
      <c r="Z127">
        <f t="shared" si="88"/>
        <v>0</v>
      </c>
      <c r="AD127">
        <v>104</v>
      </c>
      <c r="AE127">
        <v>323</v>
      </c>
      <c r="AK127">
        <v>3</v>
      </c>
      <c r="AL127">
        <v>188</v>
      </c>
      <c r="AM127">
        <v>2182</v>
      </c>
      <c r="AP127">
        <v>104</v>
      </c>
      <c r="AQ127">
        <v>67</v>
      </c>
      <c r="AR127">
        <v>187</v>
      </c>
      <c r="AS127">
        <v>23</v>
      </c>
      <c r="AT127">
        <v>128</v>
      </c>
      <c r="AU127">
        <v>28</v>
      </c>
      <c r="AX127">
        <v>7</v>
      </c>
      <c r="BH127">
        <v>492</v>
      </c>
      <c r="BI127">
        <v>709</v>
      </c>
      <c r="BN127">
        <f>SUM(AA127:BC127)</f>
        <v>3344</v>
      </c>
      <c r="BO127">
        <f>SUM(BD127:BG127)</f>
        <v>0</v>
      </c>
      <c r="BP127">
        <f>SUM(BH127:BM127)</f>
        <v>1201</v>
      </c>
      <c r="BQ127">
        <f>SUM(BN127:BP127)</f>
        <v>4545</v>
      </c>
      <c r="BU127" s="8"/>
      <c r="BZ127" s="8"/>
      <c r="CD127" s="8"/>
    </row>
    <row r="128" spans="1:82" ht="15.75">
      <c r="A128" s="15" t="s">
        <v>188</v>
      </c>
      <c r="C128" t="s">
        <v>134</v>
      </c>
      <c r="D128" t="s">
        <v>68</v>
      </c>
      <c r="E128">
        <v>5999</v>
      </c>
      <c r="G128">
        <v>142</v>
      </c>
      <c r="H128">
        <v>64</v>
      </c>
      <c r="I128">
        <v>30</v>
      </c>
      <c r="J128">
        <v>120</v>
      </c>
      <c r="K128">
        <v>15</v>
      </c>
      <c r="L128">
        <v>46</v>
      </c>
      <c r="M128">
        <v>9</v>
      </c>
      <c r="N128">
        <v>44</v>
      </c>
      <c r="O128">
        <v>1539</v>
      </c>
      <c r="P128">
        <v>2169</v>
      </c>
      <c r="Q128">
        <v>624</v>
      </c>
      <c r="R128">
        <v>191</v>
      </c>
      <c r="S128">
        <v>35</v>
      </c>
      <c r="T128">
        <v>6</v>
      </c>
      <c r="U128">
        <v>717</v>
      </c>
      <c r="V128">
        <v>49</v>
      </c>
      <c r="W128">
        <v>143</v>
      </c>
      <c r="X128">
        <v>56</v>
      </c>
      <c r="Y128">
        <f t="shared" si="87"/>
        <v>5999</v>
      </c>
      <c r="Z128">
        <f t="shared" si="88"/>
        <v>5034</v>
      </c>
      <c r="AB128">
        <f>AB124+AB126</f>
        <v>15</v>
      </c>
      <c r="AD128">
        <f aca="true" t="shared" si="89" ref="AD128:BQ128">AD124+AD126</f>
        <v>29</v>
      </c>
      <c r="AE128">
        <f t="shared" si="89"/>
        <v>130</v>
      </c>
      <c r="AF128">
        <f t="shared" si="89"/>
        <v>1</v>
      </c>
      <c r="AG128">
        <f t="shared" si="89"/>
        <v>3</v>
      </c>
      <c r="AH128">
        <f t="shared" si="89"/>
        <v>0</v>
      </c>
      <c r="AI128">
        <f t="shared" si="89"/>
        <v>4</v>
      </c>
      <c r="AJ128">
        <f t="shared" si="89"/>
        <v>1</v>
      </c>
      <c r="AK128">
        <f t="shared" si="89"/>
        <v>3</v>
      </c>
      <c r="AL128">
        <f t="shared" si="89"/>
        <v>25</v>
      </c>
      <c r="AM128">
        <f t="shared" si="89"/>
        <v>292</v>
      </c>
      <c r="AN128">
        <f t="shared" si="89"/>
        <v>0</v>
      </c>
      <c r="AO128">
        <f t="shared" si="89"/>
        <v>8</v>
      </c>
      <c r="AP128">
        <f t="shared" si="89"/>
        <v>42</v>
      </c>
      <c r="AQ128">
        <f t="shared" si="89"/>
        <v>8</v>
      </c>
      <c r="AR128">
        <f t="shared" si="89"/>
        <v>70</v>
      </c>
      <c r="AS128">
        <f t="shared" si="89"/>
        <v>20</v>
      </c>
      <c r="AT128">
        <f t="shared" si="89"/>
        <v>44</v>
      </c>
      <c r="AU128">
        <f t="shared" si="89"/>
        <v>11</v>
      </c>
      <c r="AV128">
        <f t="shared" si="89"/>
        <v>1</v>
      </c>
      <c r="AW128">
        <f t="shared" si="89"/>
        <v>0</v>
      </c>
      <c r="AX128">
        <f t="shared" si="89"/>
        <v>4</v>
      </c>
      <c r="AY128">
        <f t="shared" si="89"/>
        <v>1</v>
      </c>
      <c r="AZ128">
        <f t="shared" si="89"/>
        <v>1</v>
      </c>
      <c r="BA128">
        <f t="shared" si="89"/>
        <v>1</v>
      </c>
      <c r="BB128">
        <f t="shared" si="89"/>
        <v>1</v>
      </c>
      <c r="BC128">
        <f t="shared" si="89"/>
        <v>2</v>
      </c>
      <c r="BD128">
        <f t="shared" si="89"/>
        <v>2</v>
      </c>
      <c r="BE128">
        <f t="shared" si="89"/>
        <v>1</v>
      </c>
      <c r="BF128">
        <f t="shared" si="89"/>
        <v>0</v>
      </c>
      <c r="BG128">
        <f t="shared" si="89"/>
        <v>46</v>
      </c>
      <c r="BH128">
        <f t="shared" si="89"/>
        <v>50</v>
      </c>
      <c r="BI128">
        <f t="shared" si="89"/>
        <v>91</v>
      </c>
      <c r="BJ128">
        <f t="shared" si="89"/>
        <v>0</v>
      </c>
      <c r="BK128">
        <f t="shared" si="89"/>
        <v>1</v>
      </c>
      <c r="BL128">
        <f t="shared" si="89"/>
        <v>1</v>
      </c>
      <c r="BM128">
        <f t="shared" si="89"/>
        <v>0</v>
      </c>
      <c r="BN128">
        <f t="shared" si="89"/>
        <v>717</v>
      </c>
      <c r="BO128">
        <f t="shared" si="89"/>
        <v>49</v>
      </c>
      <c r="BP128">
        <f t="shared" si="89"/>
        <v>143</v>
      </c>
      <c r="BQ128">
        <f t="shared" si="89"/>
        <v>909</v>
      </c>
      <c r="BU128" s="8"/>
      <c r="BZ128" s="8"/>
      <c r="CD128" s="8"/>
    </row>
    <row r="129" spans="4:82" ht="15.75">
      <c r="D129" t="s">
        <v>70</v>
      </c>
      <c r="E129">
        <v>150690</v>
      </c>
      <c r="G129">
        <v>4651</v>
      </c>
      <c r="H129">
        <v>1962</v>
      </c>
      <c r="I129">
        <v>233</v>
      </c>
      <c r="J129">
        <v>1028</v>
      </c>
      <c r="K129">
        <v>1365</v>
      </c>
      <c r="L129">
        <v>519</v>
      </c>
      <c r="M129">
        <v>22</v>
      </c>
      <c r="N129">
        <v>673</v>
      </c>
      <c r="O129">
        <v>56590</v>
      </c>
      <c r="P129">
        <v>57079</v>
      </c>
      <c r="Q129">
        <v>14946</v>
      </c>
      <c r="R129">
        <v>3927</v>
      </c>
      <c r="S129">
        <v>147</v>
      </c>
      <c r="T129">
        <v>26</v>
      </c>
      <c r="U129">
        <v>3936</v>
      </c>
      <c r="V129">
        <v>132</v>
      </c>
      <c r="W129">
        <v>1658</v>
      </c>
      <c r="X129">
        <v>1796</v>
      </c>
      <c r="Y129">
        <f t="shared" si="87"/>
        <v>150690</v>
      </c>
      <c r="Z129">
        <f t="shared" si="88"/>
        <v>143168</v>
      </c>
      <c r="AB129">
        <f>AB125+AB127</f>
        <v>240</v>
      </c>
      <c r="AD129">
        <f aca="true" t="shared" si="90" ref="AD129:BQ129">AD125+AD127</f>
        <v>109</v>
      </c>
      <c r="AE129">
        <f t="shared" si="90"/>
        <v>366</v>
      </c>
      <c r="AF129">
        <f t="shared" si="90"/>
        <v>6</v>
      </c>
      <c r="AG129">
        <f t="shared" si="90"/>
        <v>21</v>
      </c>
      <c r="AH129">
        <f t="shared" si="90"/>
        <v>0</v>
      </c>
      <c r="AI129">
        <f t="shared" si="90"/>
        <v>36</v>
      </c>
      <c r="AJ129">
        <f t="shared" si="90"/>
        <v>11</v>
      </c>
      <c r="AK129">
        <f t="shared" si="90"/>
        <v>14</v>
      </c>
      <c r="AL129">
        <f t="shared" si="90"/>
        <v>236</v>
      </c>
      <c r="AM129">
        <f t="shared" si="90"/>
        <v>2213</v>
      </c>
      <c r="AN129">
        <f t="shared" si="90"/>
        <v>0</v>
      </c>
      <c r="AO129">
        <f t="shared" si="90"/>
        <v>28</v>
      </c>
      <c r="AP129">
        <f t="shared" si="90"/>
        <v>149</v>
      </c>
      <c r="AQ129">
        <f t="shared" si="90"/>
        <v>81</v>
      </c>
      <c r="AR129">
        <f t="shared" si="90"/>
        <v>194</v>
      </c>
      <c r="AS129">
        <f t="shared" si="90"/>
        <v>33</v>
      </c>
      <c r="AT129">
        <f t="shared" si="90"/>
        <v>128</v>
      </c>
      <c r="AU129">
        <f t="shared" si="90"/>
        <v>34</v>
      </c>
      <c r="AV129">
        <f t="shared" si="90"/>
        <v>4</v>
      </c>
      <c r="AW129">
        <f t="shared" si="90"/>
        <v>0</v>
      </c>
      <c r="AX129">
        <f t="shared" si="90"/>
        <v>15</v>
      </c>
      <c r="AY129">
        <f t="shared" si="90"/>
        <v>3</v>
      </c>
      <c r="AZ129">
        <f t="shared" si="90"/>
        <v>1</v>
      </c>
      <c r="BA129">
        <f t="shared" si="90"/>
        <v>6</v>
      </c>
      <c r="BB129">
        <f t="shared" si="90"/>
        <v>1</v>
      </c>
      <c r="BC129">
        <f t="shared" si="90"/>
        <v>7</v>
      </c>
      <c r="BD129">
        <f t="shared" si="90"/>
        <v>2</v>
      </c>
      <c r="BE129">
        <f t="shared" si="90"/>
        <v>1</v>
      </c>
      <c r="BF129">
        <f t="shared" si="90"/>
        <v>0</v>
      </c>
      <c r="BG129">
        <f t="shared" si="90"/>
        <v>129</v>
      </c>
      <c r="BH129">
        <f t="shared" si="90"/>
        <v>574</v>
      </c>
      <c r="BI129">
        <f t="shared" si="90"/>
        <v>1064</v>
      </c>
      <c r="BJ129">
        <f t="shared" si="90"/>
        <v>0</v>
      </c>
      <c r="BK129">
        <f t="shared" si="90"/>
        <v>8</v>
      </c>
      <c r="BL129">
        <f t="shared" si="90"/>
        <v>12</v>
      </c>
      <c r="BM129">
        <f t="shared" si="90"/>
        <v>0</v>
      </c>
      <c r="BN129">
        <f t="shared" si="90"/>
        <v>3936</v>
      </c>
      <c r="BO129">
        <f t="shared" si="90"/>
        <v>132</v>
      </c>
      <c r="BP129">
        <f t="shared" si="90"/>
        <v>1658</v>
      </c>
      <c r="BQ129">
        <f t="shared" si="90"/>
        <v>5726</v>
      </c>
      <c r="BU129" s="8"/>
      <c r="BZ129" s="8"/>
      <c r="CD129" s="8"/>
    </row>
    <row r="130" spans="1:82" ht="15.75">
      <c r="A130" s="15" t="s">
        <v>191</v>
      </c>
      <c r="B130" t="s">
        <v>192</v>
      </c>
      <c r="C130" t="s">
        <v>193</v>
      </c>
      <c r="BU130" s="8"/>
      <c r="BZ130" s="8"/>
      <c r="CD130" s="8"/>
    </row>
    <row r="131" spans="1:82" ht="15.75">
      <c r="A131" s="15" t="s">
        <v>191</v>
      </c>
      <c r="B131" t="s">
        <v>192</v>
      </c>
      <c r="C131" t="s">
        <v>193</v>
      </c>
      <c r="D131" t="s">
        <v>68</v>
      </c>
      <c r="Y131">
        <f aca="true" t="shared" si="91" ref="Y131:Y138">SUM(G131:X131)</f>
        <v>0</v>
      </c>
      <c r="Z131">
        <f aca="true" t="shared" si="92" ref="Z131:Z138">SUM(G131:T131)</f>
        <v>0</v>
      </c>
      <c r="AG131">
        <v>46</v>
      </c>
      <c r="AN131">
        <v>1</v>
      </c>
      <c r="AO131">
        <v>55</v>
      </c>
      <c r="AQ131">
        <v>1</v>
      </c>
      <c r="AS131">
        <v>2</v>
      </c>
      <c r="BF131">
        <f>5+5</f>
        <v>10</v>
      </c>
      <c r="BM131">
        <v>12</v>
      </c>
      <c r="BN131">
        <f aca="true" t="shared" si="93" ref="BN131:BN136">SUM(AA131:BC131)</f>
        <v>105</v>
      </c>
      <c r="BO131">
        <f aca="true" t="shared" si="94" ref="BO131:BO136">SUM(BD131:BG131)</f>
        <v>10</v>
      </c>
      <c r="BP131">
        <f aca="true" t="shared" si="95" ref="BP131:BP136">SUM(BH131:BM131)</f>
        <v>12</v>
      </c>
      <c r="BQ131">
        <f aca="true" t="shared" si="96" ref="BQ131:BQ136">SUM(BN131:BP131)</f>
        <v>127</v>
      </c>
      <c r="BU131" s="8"/>
      <c r="BZ131" s="8"/>
      <c r="CD131" s="8"/>
    </row>
    <row r="132" spans="4:82" ht="15.75">
      <c r="D132" t="s">
        <v>70</v>
      </c>
      <c r="Y132">
        <f t="shared" si="91"/>
        <v>0</v>
      </c>
      <c r="Z132">
        <f t="shared" si="92"/>
        <v>0</v>
      </c>
      <c r="AG132">
        <v>1219</v>
      </c>
      <c r="AN132">
        <v>6</v>
      </c>
      <c r="AO132">
        <v>290</v>
      </c>
      <c r="AQ132">
        <v>4</v>
      </c>
      <c r="AS132">
        <v>10</v>
      </c>
      <c r="BF132">
        <f>46+54</f>
        <v>100</v>
      </c>
      <c r="BM132">
        <v>132</v>
      </c>
      <c r="BN132">
        <f t="shared" si="93"/>
        <v>1529</v>
      </c>
      <c r="BO132">
        <f t="shared" si="94"/>
        <v>100</v>
      </c>
      <c r="BP132">
        <f t="shared" si="95"/>
        <v>132</v>
      </c>
      <c r="BQ132">
        <f t="shared" si="96"/>
        <v>1761</v>
      </c>
      <c r="BU132" s="8"/>
      <c r="BZ132" s="8"/>
      <c r="CD132" s="8"/>
    </row>
    <row r="133" spans="2:82" ht="15.75">
      <c r="B133" t="s">
        <v>194</v>
      </c>
      <c r="C133" t="s">
        <v>195</v>
      </c>
      <c r="D133" t="s">
        <v>68</v>
      </c>
      <c r="Y133">
        <f t="shared" si="91"/>
        <v>0</v>
      </c>
      <c r="Z133">
        <f t="shared" si="92"/>
        <v>0</v>
      </c>
      <c r="AB133">
        <v>28</v>
      </c>
      <c r="AD133">
        <v>37</v>
      </c>
      <c r="AE133">
        <v>29</v>
      </c>
      <c r="AF133">
        <v>41</v>
      </c>
      <c r="AG133">
        <v>47</v>
      </c>
      <c r="AH133">
        <v>14</v>
      </c>
      <c r="AI133">
        <v>86</v>
      </c>
      <c r="AJ133">
        <v>36</v>
      </c>
      <c r="AK133">
        <v>71</v>
      </c>
      <c r="AL133">
        <v>43</v>
      </c>
      <c r="AM133">
        <v>42</v>
      </c>
      <c r="AN133">
        <v>45</v>
      </c>
      <c r="AO133">
        <v>120</v>
      </c>
      <c r="AP133">
        <v>49</v>
      </c>
      <c r="AQ133">
        <v>64</v>
      </c>
      <c r="AR133">
        <v>24</v>
      </c>
      <c r="AS133">
        <v>27</v>
      </c>
      <c r="AT133">
        <v>22</v>
      </c>
      <c r="AU133">
        <v>16</v>
      </c>
      <c r="AV133">
        <v>15</v>
      </c>
      <c r="AW133">
        <v>1</v>
      </c>
      <c r="AX133">
        <v>9</v>
      </c>
      <c r="AY133">
        <v>55</v>
      </c>
      <c r="AZ133">
        <v>10</v>
      </c>
      <c r="BA133">
        <v>81</v>
      </c>
      <c r="BB133">
        <v>76</v>
      </c>
      <c r="BC133">
        <v>76</v>
      </c>
      <c r="BD133">
        <v>6</v>
      </c>
      <c r="BE133">
        <v>15</v>
      </c>
      <c r="BF133">
        <v>1</v>
      </c>
      <c r="BG133">
        <v>75</v>
      </c>
      <c r="BH133">
        <v>31</v>
      </c>
      <c r="BI133">
        <v>52</v>
      </c>
      <c r="BJ133">
        <v>3</v>
      </c>
      <c r="BK133">
        <v>24</v>
      </c>
      <c r="BL133">
        <v>8</v>
      </c>
      <c r="BM133">
        <v>4</v>
      </c>
      <c r="BN133">
        <f t="shared" si="93"/>
        <v>1164</v>
      </c>
      <c r="BO133">
        <f t="shared" si="94"/>
        <v>97</v>
      </c>
      <c r="BP133">
        <f t="shared" si="95"/>
        <v>122</v>
      </c>
      <c r="BQ133">
        <f t="shared" si="96"/>
        <v>1383</v>
      </c>
      <c r="BU133" s="8"/>
      <c r="BZ133" s="8"/>
      <c r="CD133" s="8"/>
    </row>
    <row r="134" spans="4:82" ht="15.75">
      <c r="D134" t="s">
        <v>70</v>
      </c>
      <c r="Y134">
        <f t="shared" si="91"/>
        <v>0</v>
      </c>
      <c r="Z134">
        <f t="shared" si="92"/>
        <v>0</v>
      </c>
      <c r="AB134">
        <v>312</v>
      </c>
      <c r="AD134">
        <v>208</v>
      </c>
      <c r="AE134">
        <v>140</v>
      </c>
      <c r="AF134">
        <v>192</v>
      </c>
      <c r="AG134">
        <v>323</v>
      </c>
      <c r="AH134">
        <v>94</v>
      </c>
      <c r="AI134">
        <v>1385</v>
      </c>
      <c r="AJ134">
        <v>224</v>
      </c>
      <c r="AK134">
        <v>267</v>
      </c>
      <c r="AL134">
        <v>299</v>
      </c>
      <c r="AM134">
        <v>359</v>
      </c>
      <c r="AN134">
        <v>233</v>
      </c>
      <c r="AO134">
        <v>442</v>
      </c>
      <c r="AP134">
        <v>147</v>
      </c>
      <c r="AQ134">
        <v>267</v>
      </c>
      <c r="AR134">
        <v>91</v>
      </c>
      <c r="AS134">
        <v>77</v>
      </c>
      <c r="AT134">
        <v>72</v>
      </c>
      <c r="AU134">
        <v>51</v>
      </c>
      <c r="AV134">
        <v>47</v>
      </c>
      <c r="AW134">
        <v>7</v>
      </c>
      <c r="AX134">
        <v>49</v>
      </c>
      <c r="AY134">
        <v>273</v>
      </c>
      <c r="AZ134">
        <v>40</v>
      </c>
      <c r="BA134">
        <v>202</v>
      </c>
      <c r="BB134">
        <v>273</v>
      </c>
      <c r="BC134">
        <v>201</v>
      </c>
      <c r="BD134">
        <v>69</v>
      </c>
      <c r="BE134">
        <v>18</v>
      </c>
      <c r="BF134">
        <v>23</v>
      </c>
      <c r="BG134">
        <v>203</v>
      </c>
      <c r="BH134">
        <v>269</v>
      </c>
      <c r="BI134">
        <v>482</v>
      </c>
      <c r="BJ134">
        <v>19</v>
      </c>
      <c r="BK134">
        <v>194</v>
      </c>
      <c r="BL134">
        <v>40</v>
      </c>
      <c r="BM134">
        <v>40</v>
      </c>
      <c r="BN134">
        <f t="shared" si="93"/>
        <v>6275</v>
      </c>
      <c r="BO134">
        <f t="shared" si="94"/>
        <v>313</v>
      </c>
      <c r="BP134">
        <f t="shared" si="95"/>
        <v>1044</v>
      </c>
      <c r="BQ134">
        <f t="shared" si="96"/>
        <v>7632</v>
      </c>
      <c r="BU134" s="8"/>
      <c r="BZ134" s="8"/>
      <c r="CD134" s="8"/>
    </row>
    <row r="135" spans="2:82" ht="15.75">
      <c r="B135" t="s">
        <v>196</v>
      </c>
      <c r="C135" t="s">
        <v>197</v>
      </c>
      <c r="D135" t="s">
        <v>68</v>
      </c>
      <c r="Y135">
        <f t="shared" si="91"/>
        <v>0</v>
      </c>
      <c r="Z135">
        <f t="shared" si="92"/>
        <v>0</v>
      </c>
      <c r="AB135">
        <v>13</v>
      </c>
      <c r="AD135">
        <v>568</v>
      </c>
      <c r="AE135">
        <v>58</v>
      </c>
      <c r="AF135">
        <v>43</v>
      </c>
      <c r="AG135">
        <v>390</v>
      </c>
      <c r="AH135">
        <v>4</v>
      </c>
      <c r="AI135">
        <v>3</v>
      </c>
      <c r="AJ135">
        <v>205</v>
      </c>
      <c r="AK135">
        <v>118</v>
      </c>
      <c r="AL135">
        <v>564</v>
      </c>
      <c r="AM135">
        <v>733</v>
      </c>
      <c r="AN135">
        <v>494</v>
      </c>
      <c r="AO135">
        <v>668</v>
      </c>
      <c r="AP135">
        <v>450</v>
      </c>
      <c r="AQ135">
        <v>230</v>
      </c>
      <c r="AR135">
        <v>127</v>
      </c>
      <c r="AS135">
        <v>70</v>
      </c>
      <c r="AT135">
        <v>17</v>
      </c>
      <c r="AU135">
        <v>37</v>
      </c>
      <c r="AV135">
        <v>31</v>
      </c>
      <c r="AW135">
        <v>2</v>
      </c>
      <c r="AX135">
        <v>7</v>
      </c>
      <c r="AY135">
        <v>99</v>
      </c>
      <c r="AZ135">
        <v>8</v>
      </c>
      <c r="BA135">
        <v>86</v>
      </c>
      <c r="BB135">
        <v>723</v>
      </c>
      <c r="BC135">
        <v>112</v>
      </c>
      <c r="BD135">
        <v>50</v>
      </c>
      <c r="BE135">
        <v>66</v>
      </c>
      <c r="BF135">
        <v>12</v>
      </c>
      <c r="BG135">
        <v>95</v>
      </c>
      <c r="BH135">
        <v>318</v>
      </c>
      <c r="BI135">
        <v>28</v>
      </c>
      <c r="BJ135">
        <v>4</v>
      </c>
      <c r="BK135">
        <v>4</v>
      </c>
      <c r="BL135">
        <v>7</v>
      </c>
      <c r="BN135">
        <f t="shared" si="93"/>
        <v>5860</v>
      </c>
      <c r="BO135">
        <f t="shared" si="94"/>
        <v>223</v>
      </c>
      <c r="BP135">
        <f t="shared" si="95"/>
        <v>361</v>
      </c>
      <c r="BQ135">
        <f t="shared" si="96"/>
        <v>6444</v>
      </c>
      <c r="BU135" s="8"/>
      <c r="BZ135" s="8"/>
      <c r="CD135" s="8"/>
    </row>
    <row r="136" spans="4:82" ht="15.75">
      <c r="D136" t="s">
        <v>70</v>
      </c>
      <c r="Y136">
        <f t="shared" si="91"/>
        <v>0</v>
      </c>
      <c r="Z136">
        <f t="shared" si="92"/>
        <v>0</v>
      </c>
      <c r="AB136">
        <v>302</v>
      </c>
      <c r="AD136">
        <v>894</v>
      </c>
      <c r="AE136">
        <v>112</v>
      </c>
      <c r="AF136">
        <v>151</v>
      </c>
      <c r="AG136">
        <v>1087</v>
      </c>
      <c r="AH136">
        <v>40</v>
      </c>
      <c r="AI136">
        <v>38</v>
      </c>
      <c r="AJ136">
        <v>584</v>
      </c>
      <c r="AK136">
        <v>258</v>
      </c>
      <c r="AL136">
        <v>1032</v>
      </c>
      <c r="AM136">
        <v>1961</v>
      </c>
      <c r="AN136">
        <v>878</v>
      </c>
      <c r="AO136">
        <v>1014</v>
      </c>
      <c r="AP136">
        <v>680</v>
      </c>
      <c r="AQ136">
        <v>465</v>
      </c>
      <c r="AR136">
        <v>195</v>
      </c>
      <c r="AS136">
        <v>117</v>
      </c>
      <c r="AT136">
        <v>38</v>
      </c>
      <c r="AU136">
        <v>75</v>
      </c>
      <c r="AV136">
        <v>69</v>
      </c>
      <c r="AW136">
        <v>9</v>
      </c>
      <c r="AX136">
        <v>15</v>
      </c>
      <c r="AY136">
        <v>238</v>
      </c>
      <c r="AZ136">
        <v>8</v>
      </c>
      <c r="BA136">
        <v>121</v>
      </c>
      <c r="BB136">
        <v>890</v>
      </c>
      <c r="BC136">
        <v>210</v>
      </c>
      <c r="BD136">
        <v>67</v>
      </c>
      <c r="BE136">
        <v>64</v>
      </c>
      <c r="BF136">
        <v>22</v>
      </c>
      <c r="BG136">
        <v>255</v>
      </c>
      <c r="BH136">
        <v>2651</v>
      </c>
      <c r="BI136">
        <v>228</v>
      </c>
      <c r="BJ136">
        <v>27</v>
      </c>
      <c r="BK136">
        <v>32</v>
      </c>
      <c r="BL136">
        <v>40</v>
      </c>
      <c r="BN136">
        <f t="shared" si="93"/>
        <v>11481</v>
      </c>
      <c r="BO136">
        <f t="shared" si="94"/>
        <v>408</v>
      </c>
      <c r="BP136">
        <f t="shared" si="95"/>
        <v>2978</v>
      </c>
      <c r="BQ136">
        <f t="shared" si="96"/>
        <v>14867</v>
      </c>
      <c r="BU136" s="8"/>
      <c r="BZ136" s="8"/>
      <c r="CD136" s="8"/>
    </row>
    <row r="137" spans="1:82" ht="15.75">
      <c r="A137" s="15" t="s">
        <v>198</v>
      </c>
      <c r="C137" t="s">
        <v>134</v>
      </c>
      <c r="D137" t="s">
        <v>68</v>
      </c>
      <c r="E137">
        <v>29843</v>
      </c>
      <c r="G137">
        <v>2426</v>
      </c>
      <c r="H137">
        <v>1881</v>
      </c>
      <c r="I137">
        <v>409</v>
      </c>
      <c r="J137">
        <v>1270</v>
      </c>
      <c r="K137">
        <v>630</v>
      </c>
      <c r="L137">
        <v>77</v>
      </c>
      <c r="M137">
        <v>112</v>
      </c>
      <c r="N137">
        <v>1045</v>
      </c>
      <c r="O137">
        <v>4842</v>
      </c>
      <c r="P137">
        <v>6095</v>
      </c>
      <c r="Q137">
        <v>1260</v>
      </c>
      <c r="R137">
        <v>1046</v>
      </c>
      <c r="S137">
        <v>51</v>
      </c>
      <c r="T137">
        <v>19</v>
      </c>
      <c r="U137">
        <v>7129</v>
      </c>
      <c r="V137">
        <v>330</v>
      </c>
      <c r="W137">
        <v>495</v>
      </c>
      <c r="X137">
        <v>726</v>
      </c>
      <c r="Y137">
        <f t="shared" si="91"/>
        <v>29843</v>
      </c>
      <c r="Z137">
        <f t="shared" si="92"/>
        <v>21163</v>
      </c>
      <c r="AB137">
        <f>AB131+AB133+AB135</f>
        <v>41</v>
      </c>
      <c r="AD137">
        <f aca="true" t="shared" si="97" ref="AD137:BQ137">AD131+AD133+AD135</f>
        <v>605</v>
      </c>
      <c r="AE137">
        <f t="shared" si="97"/>
        <v>87</v>
      </c>
      <c r="AF137">
        <f t="shared" si="97"/>
        <v>84</v>
      </c>
      <c r="AG137">
        <f t="shared" si="97"/>
        <v>483</v>
      </c>
      <c r="AH137">
        <f t="shared" si="97"/>
        <v>18</v>
      </c>
      <c r="AI137">
        <f t="shared" si="97"/>
        <v>89</v>
      </c>
      <c r="AJ137">
        <f t="shared" si="97"/>
        <v>241</v>
      </c>
      <c r="AK137">
        <f t="shared" si="97"/>
        <v>189</v>
      </c>
      <c r="AL137">
        <f t="shared" si="97"/>
        <v>607</v>
      </c>
      <c r="AM137">
        <f t="shared" si="97"/>
        <v>775</v>
      </c>
      <c r="AN137">
        <f t="shared" si="97"/>
        <v>540</v>
      </c>
      <c r="AO137">
        <f t="shared" si="97"/>
        <v>843</v>
      </c>
      <c r="AP137">
        <f t="shared" si="97"/>
        <v>499</v>
      </c>
      <c r="AQ137">
        <f t="shared" si="97"/>
        <v>295</v>
      </c>
      <c r="AR137">
        <f t="shared" si="97"/>
        <v>151</v>
      </c>
      <c r="AS137">
        <f t="shared" si="97"/>
        <v>99</v>
      </c>
      <c r="AT137">
        <f t="shared" si="97"/>
        <v>39</v>
      </c>
      <c r="AU137">
        <f t="shared" si="97"/>
        <v>53</v>
      </c>
      <c r="AV137">
        <f t="shared" si="97"/>
        <v>46</v>
      </c>
      <c r="AW137">
        <f t="shared" si="97"/>
        <v>3</v>
      </c>
      <c r="AX137">
        <f t="shared" si="97"/>
        <v>16</v>
      </c>
      <c r="AY137">
        <f t="shared" si="97"/>
        <v>154</v>
      </c>
      <c r="AZ137">
        <f t="shared" si="97"/>
        <v>18</v>
      </c>
      <c r="BA137">
        <f t="shared" si="97"/>
        <v>167</v>
      </c>
      <c r="BB137">
        <f t="shared" si="97"/>
        <v>799</v>
      </c>
      <c r="BC137">
        <f t="shared" si="97"/>
        <v>188</v>
      </c>
      <c r="BD137">
        <f t="shared" si="97"/>
        <v>56</v>
      </c>
      <c r="BE137">
        <f t="shared" si="97"/>
        <v>81</v>
      </c>
      <c r="BF137">
        <f t="shared" si="97"/>
        <v>23</v>
      </c>
      <c r="BG137">
        <f t="shared" si="97"/>
        <v>170</v>
      </c>
      <c r="BH137">
        <f t="shared" si="97"/>
        <v>349</v>
      </c>
      <c r="BI137">
        <f t="shared" si="97"/>
        <v>80</v>
      </c>
      <c r="BJ137">
        <f t="shared" si="97"/>
        <v>7</v>
      </c>
      <c r="BK137">
        <f t="shared" si="97"/>
        <v>28</v>
      </c>
      <c r="BL137">
        <f t="shared" si="97"/>
        <v>15</v>
      </c>
      <c r="BM137">
        <f t="shared" si="97"/>
        <v>16</v>
      </c>
      <c r="BN137">
        <f t="shared" si="97"/>
        <v>7129</v>
      </c>
      <c r="BO137">
        <f t="shared" si="97"/>
        <v>330</v>
      </c>
      <c r="BP137">
        <f t="shared" si="97"/>
        <v>495</v>
      </c>
      <c r="BQ137">
        <f t="shared" si="97"/>
        <v>7954</v>
      </c>
      <c r="BU137" s="8"/>
      <c r="BZ137" s="8"/>
      <c r="CD137" s="8"/>
    </row>
    <row r="138" spans="4:82" ht="15.75">
      <c r="D138" t="s">
        <v>70</v>
      </c>
      <c r="E138">
        <v>252986</v>
      </c>
      <c r="G138">
        <v>44812</v>
      </c>
      <c r="H138">
        <v>9954</v>
      </c>
      <c r="I138">
        <v>1471</v>
      </c>
      <c r="J138">
        <v>5353</v>
      </c>
      <c r="K138">
        <v>2001</v>
      </c>
      <c r="L138">
        <v>305</v>
      </c>
      <c r="M138">
        <v>2154</v>
      </c>
      <c r="N138">
        <v>2415</v>
      </c>
      <c r="O138">
        <v>80824</v>
      </c>
      <c r="P138">
        <v>53601</v>
      </c>
      <c r="Q138">
        <v>17111</v>
      </c>
      <c r="R138">
        <v>4179</v>
      </c>
      <c r="S138">
        <v>218</v>
      </c>
      <c r="T138">
        <v>188</v>
      </c>
      <c r="U138">
        <v>19285</v>
      </c>
      <c r="V138">
        <v>821</v>
      </c>
      <c r="W138">
        <v>4154</v>
      </c>
      <c r="X138">
        <v>4140</v>
      </c>
      <c r="Y138">
        <f t="shared" si="91"/>
        <v>252986</v>
      </c>
      <c r="Z138">
        <f t="shared" si="92"/>
        <v>224586</v>
      </c>
      <c r="AB138">
        <f>AB132+AB134+AB136</f>
        <v>614</v>
      </c>
      <c r="AD138">
        <f aca="true" t="shared" si="98" ref="AD138:BQ138">AD132+AD134+AD136</f>
        <v>1102</v>
      </c>
      <c r="AE138">
        <f t="shared" si="98"/>
        <v>252</v>
      </c>
      <c r="AF138">
        <f t="shared" si="98"/>
        <v>343</v>
      </c>
      <c r="AG138">
        <f t="shared" si="98"/>
        <v>2629</v>
      </c>
      <c r="AH138">
        <f t="shared" si="98"/>
        <v>134</v>
      </c>
      <c r="AI138">
        <f t="shared" si="98"/>
        <v>1423</v>
      </c>
      <c r="AJ138">
        <f t="shared" si="98"/>
        <v>808</v>
      </c>
      <c r="AK138">
        <f t="shared" si="98"/>
        <v>525</v>
      </c>
      <c r="AL138">
        <f t="shared" si="98"/>
        <v>1331</v>
      </c>
      <c r="AM138">
        <f t="shared" si="98"/>
        <v>2320</v>
      </c>
      <c r="AN138">
        <f t="shared" si="98"/>
        <v>1117</v>
      </c>
      <c r="AO138">
        <f t="shared" si="98"/>
        <v>1746</v>
      </c>
      <c r="AP138">
        <f t="shared" si="98"/>
        <v>827</v>
      </c>
      <c r="AQ138">
        <f t="shared" si="98"/>
        <v>736</v>
      </c>
      <c r="AR138">
        <f t="shared" si="98"/>
        <v>286</v>
      </c>
      <c r="AS138">
        <f t="shared" si="98"/>
        <v>204</v>
      </c>
      <c r="AT138">
        <f t="shared" si="98"/>
        <v>110</v>
      </c>
      <c r="AU138">
        <f t="shared" si="98"/>
        <v>126</v>
      </c>
      <c r="AV138">
        <f t="shared" si="98"/>
        <v>116</v>
      </c>
      <c r="AW138">
        <f t="shared" si="98"/>
        <v>16</v>
      </c>
      <c r="AX138">
        <f t="shared" si="98"/>
        <v>64</v>
      </c>
      <c r="AY138">
        <f t="shared" si="98"/>
        <v>511</v>
      </c>
      <c r="AZ138">
        <f t="shared" si="98"/>
        <v>48</v>
      </c>
      <c r="BA138">
        <f t="shared" si="98"/>
        <v>323</v>
      </c>
      <c r="BB138">
        <f t="shared" si="98"/>
        <v>1163</v>
      </c>
      <c r="BC138">
        <f t="shared" si="98"/>
        <v>411</v>
      </c>
      <c r="BD138">
        <f t="shared" si="98"/>
        <v>136</v>
      </c>
      <c r="BE138">
        <f t="shared" si="98"/>
        <v>82</v>
      </c>
      <c r="BF138">
        <f t="shared" si="98"/>
        <v>145</v>
      </c>
      <c r="BG138">
        <f t="shared" si="98"/>
        <v>458</v>
      </c>
      <c r="BH138">
        <f t="shared" si="98"/>
        <v>2920</v>
      </c>
      <c r="BI138">
        <f t="shared" si="98"/>
        <v>710</v>
      </c>
      <c r="BJ138">
        <f t="shared" si="98"/>
        <v>46</v>
      </c>
      <c r="BK138">
        <f t="shared" si="98"/>
        <v>226</v>
      </c>
      <c r="BL138">
        <f t="shared" si="98"/>
        <v>80</v>
      </c>
      <c r="BM138">
        <f t="shared" si="98"/>
        <v>172</v>
      </c>
      <c r="BN138">
        <f t="shared" si="98"/>
        <v>19285</v>
      </c>
      <c r="BO138">
        <f t="shared" si="98"/>
        <v>821</v>
      </c>
      <c r="BP138">
        <f t="shared" si="98"/>
        <v>4154</v>
      </c>
      <c r="BQ138">
        <f t="shared" si="98"/>
        <v>24260</v>
      </c>
      <c r="BU138" s="8"/>
      <c r="BZ138" s="8"/>
      <c r="CD138" s="8"/>
    </row>
    <row r="139" spans="1:82" ht="15.75">
      <c r="A139" s="15" t="s">
        <v>199</v>
      </c>
      <c r="B139" t="s">
        <v>200</v>
      </c>
      <c r="C139" t="s">
        <v>201</v>
      </c>
      <c r="BU139" s="8"/>
      <c r="BZ139" s="8"/>
      <c r="CD139" s="8"/>
    </row>
    <row r="140" spans="1:82" ht="15.75">
      <c r="A140" s="15" t="s">
        <v>199</v>
      </c>
      <c r="B140" t="s">
        <v>202</v>
      </c>
      <c r="C140" t="s">
        <v>201</v>
      </c>
      <c r="D140" t="s">
        <v>68</v>
      </c>
      <c r="Y140">
        <f aca="true" t="shared" si="99" ref="Y140:Y147">SUM(G140:X140)</f>
        <v>0</v>
      </c>
      <c r="Z140">
        <f aca="true" t="shared" si="100" ref="Z140:Z147">SUM(G140:T140)</f>
        <v>0</v>
      </c>
      <c r="AB140">
        <f>13+1+1+1</f>
        <v>16</v>
      </c>
      <c r="AD140">
        <v>2</v>
      </c>
      <c r="AE140">
        <f>5+11</f>
        <v>16</v>
      </c>
      <c r="AF140">
        <v>1</v>
      </c>
      <c r="AG140">
        <v>6</v>
      </c>
      <c r="AH140">
        <v>1</v>
      </c>
      <c r="AI140">
        <v>2</v>
      </c>
      <c r="AL140">
        <f>10+15</f>
        <v>25</v>
      </c>
      <c r="AM140">
        <v>1</v>
      </c>
      <c r="AN140">
        <v>1</v>
      </c>
      <c r="AO140">
        <v>3</v>
      </c>
      <c r="AP140">
        <f>1+5</f>
        <v>6</v>
      </c>
      <c r="AQ140">
        <v>2</v>
      </c>
      <c r="AR140">
        <f>1+1</f>
        <v>2</v>
      </c>
      <c r="AS140">
        <f>2+1</f>
        <v>3</v>
      </c>
      <c r="AT140">
        <v>3</v>
      </c>
      <c r="AU140">
        <v>1</v>
      </c>
      <c r="AV140">
        <v>3</v>
      </c>
      <c r="AX140">
        <v>1</v>
      </c>
      <c r="BB140">
        <v>3</v>
      </c>
      <c r="BC140">
        <v>1</v>
      </c>
      <c r="BH140">
        <v>3</v>
      </c>
      <c r="BI140">
        <f>1+1</f>
        <v>2</v>
      </c>
      <c r="BL140">
        <v>1</v>
      </c>
      <c r="BN140">
        <f aca="true" t="shared" si="101" ref="BN140:BN145">SUM(AA140:BC140)</f>
        <v>99</v>
      </c>
      <c r="BO140">
        <f aca="true" t="shared" si="102" ref="BO140:BO145">SUM(BD140:BG140)</f>
        <v>0</v>
      </c>
      <c r="BP140">
        <f aca="true" t="shared" si="103" ref="BP140:BP145">SUM(BH140:BM140)</f>
        <v>6</v>
      </c>
      <c r="BQ140">
        <f aca="true" t="shared" si="104" ref="BQ140:BQ145">SUM(BN140:BP140)</f>
        <v>105</v>
      </c>
      <c r="BU140" s="8"/>
      <c r="BZ140" s="8"/>
      <c r="CD140" s="8"/>
    </row>
    <row r="141" spans="4:82" ht="15.75">
      <c r="D141" t="s">
        <v>70</v>
      </c>
      <c r="Y141">
        <f t="shared" si="99"/>
        <v>0</v>
      </c>
      <c r="Z141">
        <f t="shared" si="100"/>
        <v>0</v>
      </c>
      <c r="AB141">
        <f>302+12+13+2</f>
        <v>329</v>
      </c>
      <c r="AD141">
        <v>5</v>
      </c>
      <c r="AE141">
        <f>47+83</f>
        <v>130</v>
      </c>
      <c r="AF141">
        <v>8</v>
      </c>
      <c r="AG141">
        <v>61</v>
      </c>
      <c r="AH141">
        <v>2</v>
      </c>
      <c r="AI141">
        <v>48</v>
      </c>
      <c r="AL141">
        <f>75+180</f>
        <v>255</v>
      </c>
      <c r="AM141">
        <v>6</v>
      </c>
      <c r="AN141">
        <v>3</v>
      </c>
      <c r="AO141">
        <v>42</v>
      </c>
      <c r="AP141">
        <f>5+68</f>
        <v>73</v>
      </c>
      <c r="AQ141">
        <v>12</v>
      </c>
      <c r="AR141">
        <f>6+11</f>
        <v>17</v>
      </c>
      <c r="AS141">
        <f>23+7</f>
        <v>30</v>
      </c>
      <c r="AT141">
        <v>15</v>
      </c>
      <c r="AU141">
        <v>2</v>
      </c>
      <c r="AV141">
        <v>24</v>
      </c>
      <c r="AX141">
        <v>13</v>
      </c>
      <c r="BB141">
        <v>10</v>
      </c>
      <c r="BC141">
        <v>13</v>
      </c>
      <c r="BH141">
        <v>28</v>
      </c>
      <c r="BI141">
        <f>29+11</f>
        <v>40</v>
      </c>
      <c r="BL141">
        <v>9</v>
      </c>
      <c r="BN141">
        <f t="shared" si="101"/>
        <v>1098</v>
      </c>
      <c r="BO141">
        <f t="shared" si="102"/>
        <v>0</v>
      </c>
      <c r="BP141">
        <f t="shared" si="103"/>
        <v>77</v>
      </c>
      <c r="BQ141">
        <f t="shared" si="104"/>
        <v>1175</v>
      </c>
      <c r="BU141" s="8"/>
      <c r="BZ141" s="8"/>
      <c r="CD141" s="8"/>
    </row>
    <row r="142" spans="2:82" ht="15.75">
      <c r="B142" t="s">
        <v>203</v>
      </c>
      <c r="C142" t="s">
        <v>197</v>
      </c>
      <c r="D142" t="s">
        <v>68</v>
      </c>
      <c r="Y142">
        <f t="shared" si="99"/>
        <v>0</v>
      </c>
      <c r="Z142">
        <f t="shared" si="100"/>
        <v>0</v>
      </c>
      <c r="BH142">
        <v>69</v>
      </c>
      <c r="BM142">
        <v>40</v>
      </c>
      <c r="BN142">
        <f t="shared" si="101"/>
        <v>0</v>
      </c>
      <c r="BO142">
        <f t="shared" si="102"/>
        <v>0</v>
      </c>
      <c r="BP142">
        <f t="shared" si="103"/>
        <v>109</v>
      </c>
      <c r="BQ142">
        <f t="shared" si="104"/>
        <v>109</v>
      </c>
      <c r="BU142" s="8"/>
      <c r="BZ142" s="8"/>
      <c r="CD142" s="8"/>
    </row>
    <row r="143" spans="4:82" ht="15.75">
      <c r="D143" t="s">
        <v>70</v>
      </c>
      <c r="Y143">
        <f t="shared" si="99"/>
        <v>0</v>
      </c>
      <c r="Z143">
        <f t="shared" si="100"/>
        <v>0</v>
      </c>
      <c r="BH143">
        <v>406</v>
      </c>
      <c r="BM143">
        <v>360</v>
      </c>
      <c r="BN143">
        <f t="shared" si="101"/>
        <v>0</v>
      </c>
      <c r="BO143">
        <f t="shared" si="102"/>
        <v>0</v>
      </c>
      <c r="BP143">
        <f t="shared" si="103"/>
        <v>766</v>
      </c>
      <c r="BQ143">
        <f t="shared" si="104"/>
        <v>766</v>
      </c>
      <c r="BU143" s="8"/>
      <c r="BZ143" s="8"/>
      <c r="CD143" s="8"/>
    </row>
    <row r="144" spans="2:82" ht="15.75">
      <c r="B144" t="s">
        <v>204</v>
      </c>
      <c r="C144" t="s">
        <v>205</v>
      </c>
      <c r="D144" t="s">
        <v>68</v>
      </c>
      <c r="Y144">
        <f t="shared" si="99"/>
        <v>0</v>
      </c>
      <c r="Z144">
        <f t="shared" si="100"/>
        <v>0</v>
      </c>
      <c r="AB144">
        <v>20</v>
      </c>
      <c r="AD144">
        <v>17</v>
      </c>
      <c r="AE144">
        <v>10</v>
      </c>
      <c r="AF144">
        <v>25</v>
      </c>
      <c r="AG144">
        <v>25</v>
      </c>
      <c r="AH144">
        <v>6</v>
      </c>
      <c r="AJ144">
        <v>7</v>
      </c>
      <c r="AK144">
        <v>36</v>
      </c>
      <c r="AL144">
        <v>41</v>
      </c>
      <c r="AM144">
        <v>28</v>
      </c>
      <c r="AN144">
        <v>22</v>
      </c>
      <c r="AO144">
        <v>62</v>
      </c>
      <c r="AP144">
        <v>14</v>
      </c>
      <c r="AQ144">
        <v>35</v>
      </c>
      <c r="AR144">
        <v>28</v>
      </c>
      <c r="AS144">
        <v>55</v>
      </c>
      <c r="AT144">
        <v>37</v>
      </c>
      <c r="AU144">
        <v>18</v>
      </c>
      <c r="AV144">
        <v>7</v>
      </c>
      <c r="AX144">
        <v>7</v>
      </c>
      <c r="AY144">
        <v>20</v>
      </c>
      <c r="AZ144">
        <v>13</v>
      </c>
      <c r="BA144">
        <v>26</v>
      </c>
      <c r="BB144">
        <v>31</v>
      </c>
      <c r="BC144">
        <v>15</v>
      </c>
      <c r="BD144">
        <v>2</v>
      </c>
      <c r="BE144">
        <v>2</v>
      </c>
      <c r="BF144">
        <v>4</v>
      </c>
      <c r="BG144">
        <v>9</v>
      </c>
      <c r="BH144">
        <v>4</v>
      </c>
      <c r="BI144">
        <v>6</v>
      </c>
      <c r="BJ144">
        <v>2</v>
      </c>
      <c r="BL144">
        <v>4</v>
      </c>
      <c r="BN144">
        <f t="shared" si="101"/>
        <v>605</v>
      </c>
      <c r="BO144">
        <f t="shared" si="102"/>
        <v>17</v>
      </c>
      <c r="BP144">
        <f t="shared" si="103"/>
        <v>16</v>
      </c>
      <c r="BQ144">
        <f t="shared" si="104"/>
        <v>638</v>
      </c>
      <c r="BU144" s="8"/>
      <c r="BZ144" s="8"/>
      <c r="CD144" s="8"/>
    </row>
    <row r="145" spans="4:82" ht="15.75">
      <c r="D145" t="s">
        <v>70</v>
      </c>
      <c r="Y145">
        <f t="shared" si="99"/>
        <v>0</v>
      </c>
      <c r="Z145">
        <f t="shared" si="100"/>
        <v>0</v>
      </c>
      <c r="AB145">
        <v>411</v>
      </c>
      <c r="AD145">
        <v>302</v>
      </c>
      <c r="AE145">
        <v>115</v>
      </c>
      <c r="AF145">
        <v>249</v>
      </c>
      <c r="AG145">
        <v>590</v>
      </c>
      <c r="AH145">
        <v>49</v>
      </c>
      <c r="AJ145">
        <v>68</v>
      </c>
      <c r="AK145">
        <v>125</v>
      </c>
      <c r="AL145">
        <v>384</v>
      </c>
      <c r="AM145">
        <v>384</v>
      </c>
      <c r="AN145">
        <v>316</v>
      </c>
      <c r="AO145">
        <v>381</v>
      </c>
      <c r="AP145">
        <v>122</v>
      </c>
      <c r="AQ145">
        <v>137</v>
      </c>
      <c r="AR145">
        <v>137</v>
      </c>
      <c r="AS145">
        <v>317</v>
      </c>
      <c r="AT145">
        <v>195</v>
      </c>
      <c r="AU145">
        <v>116</v>
      </c>
      <c r="AV145">
        <v>32</v>
      </c>
      <c r="AX145">
        <v>61</v>
      </c>
      <c r="AY145">
        <v>158</v>
      </c>
      <c r="AZ145">
        <v>68</v>
      </c>
      <c r="BA145">
        <v>91</v>
      </c>
      <c r="BB145">
        <v>81</v>
      </c>
      <c r="BC145">
        <v>44</v>
      </c>
      <c r="BD145">
        <v>6</v>
      </c>
      <c r="BE145">
        <v>4</v>
      </c>
      <c r="BF145">
        <v>56</v>
      </c>
      <c r="BG145">
        <v>56</v>
      </c>
      <c r="BH145">
        <v>31</v>
      </c>
      <c r="BI145">
        <v>52</v>
      </c>
      <c r="BJ145">
        <v>16</v>
      </c>
      <c r="BL145">
        <v>31</v>
      </c>
      <c r="BN145">
        <f t="shared" si="101"/>
        <v>4933</v>
      </c>
      <c r="BO145">
        <f t="shared" si="102"/>
        <v>122</v>
      </c>
      <c r="BP145">
        <f t="shared" si="103"/>
        <v>130</v>
      </c>
      <c r="BQ145">
        <f t="shared" si="104"/>
        <v>5185</v>
      </c>
      <c r="BU145" s="8"/>
      <c r="BZ145" s="8"/>
      <c r="CD145" s="8"/>
    </row>
    <row r="146" spans="1:82" ht="15.75">
      <c r="A146" s="15" t="s">
        <v>199</v>
      </c>
      <c r="C146" t="s">
        <v>134</v>
      </c>
      <c r="D146" t="s">
        <v>68</v>
      </c>
      <c r="E146">
        <v>7252</v>
      </c>
      <c r="G146">
        <v>931</v>
      </c>
      <c r="H146">
        <v>741</v>
      </c>
      <c r="I146">
        <v>31</v>
      </c>
      <c r="J146">
        <v>160</v>
      </c>
      <c r="K146">
        <v>59</v>
      </c>
      <c r="L146">
        <v>46</v>
      </c>
      <c r="M146">
        <v>24</v>
      </c>
      <c r="N146">
        <v>274</v>
      </c>
      <c r="O146">
        <v>2758</v>
      </c>
      <c r="P146">
        <v>554</v>
      </c>
      <c r="Q146">
        <v>133</v>
      </c>
      <c r="R146">
        <v>154</v>
      </c>
      <c r="S146">
        <v>8</v>
      </c>
      <c r="T146">
        <v>20</v>
      </c>
      <c r="U146">
        <v>704</v>
      </c>
      <c r="V146">
        <v>17</v>
      </c>
      <c r="W146">
        <v>131</v>
      </c>
      <c r="X146">
        <v>507</v>
      </c>
      <c r="Y146">
        <f t="shared" si="99"/>
        <v>7252</v>
      </c>
      <c r="Z146">
        <f t="shared" si="100"/>
        <v>5893</v>
      </c>
      <c r="AB146">
        <f>AB140+AB142+AB144</f>
        <v>36</v>
      </c>
      <c r="AD146">
        <f aca="true" t="shared" si="105" ref="AD146:BQ146">AD140+AD142+AD144</f>
        <v>19</v>
      </c>
      <c r="AE146">
        <f t="shared" si="105"/>
        <v>26</v>
      </c>
      <c r="AF146">
        <f t="shared" si="105"/>
        <v>26</v>
      </c>
      <c r="AG146">
        <f t="shared" si="105"/>
        <v>31</v>
      </c>
      <c r="AH146">
        <f t="shared" si="105"/>
        <v>7</v>
      </c>
      <c r="AI146">
        <f t="shared" si="105"/>
        <v>2</v>
      </c>
      <c r="AJ146">
        <f t="shared" si="105"/>
        <v>7</v>
      </c>
      <c r="AK146">
        <f t="shared" si="105"/>
        <v>36</v>
      </c>
      <c r="AL146">
        <f t="shared" si="105"/>
        <v>66</v>
      </c>
      <c r="AM146">
        <f t="shared" si="105"/>
        <v>29</v>
      </c>
      <c r="AN146">
        <f t="shared" si="105"/>
        <v>23</v>
      </c>
      <c r="AO146">
        <f t="shared" si="105"/>
        <v>65</v>
      </c>
      <c r="AP146">
        <f t="shared" si="105"/>
        <v>20</v>
      </c>
      <c r="AQ146">
        <f t="shared" si="105"/>
        <v>37</v>
      </c>
      <c r="AR146">
        <f t="shared" si="105"/>
        <v>30</v>
      </c>
      <c r="AS146">
        <f t="shared" si="105"/>
        <v>58</v>
      </c>
      <c r="AT146">
        <f t="shared" si="105"/>
        <v>40</v>
      </c>
      <c r="AU146">
        <f t="shared" si="105"/>
        <v>19</v>
      </c>
      <c r="AV146">
        <f t="shared" si="105"/>
        <v>10</v>
      </c>
      <c r="AW146">
        <f t="shared" si="105"/>
        <v>0</v>
      </c>
      <c r="AX146">
        <f t="shared" si="105"/>
        <v>8</v>
      </c>
      <c r="AY146">
        <f t="shared" si="105"/>
        <v>20</v>
      </c>
      <c r="AZ146">
        <f t="shared" si="105"/>
        <v>13</v>
      </c>
      <c r="BA146">
        <f t="shared" si="105"/>
        <v>26</v>
      </c>
      <c r="BB146">
        <f t="shared" si="105"/>
        <v>34</v>
      </c>
      <c r="BC146">
        <f t="shared" si="105"/>
        <v>16</v>
      </c>
      <c r="BD146">
        <f t="shared" si="105"/>
        <v>2</v>
      </c>
      <c r="BE146">
        <f t="shared" si="105"/>
        <v>2</v>
      </c>
      <c r="BF146">
        <f t="shared" si="105"/>
        <v>4</v>
      </c>
      <c r="BG146">
        <f t="shared" si="105"/>
        <v>9</v>
      </c>
      <c r="BH146">
        <f t="shared" si="105"/>
        <v>76</v>
      </c>
      <c r="BI146">
        <f t="shared" si="105"/>
        <v>8</v>
      </c>
      <c r="BJ146">
        <f t="shared" si="105"/>
        <v>2</v>
      </c>
      <c r="BK146">
        <f t="shared" si="105"/>
        <v>0</v>
      </c>
      <c r="BL146">
        <f t="shared" si="105"/>
        <v>5</v>
      </c>
      <c r="BM146">
        <f t="shared" si="105"/>
        <v>40</v>
      </c>
      <c r="BN146">
        <f t="shared" si="105"/>
        <v>704</v>
      </c>
      <c r="BO146">
        <f t="shared" si="105"/>
        <v>17</v>
      </c>
      <c r="BP146">
        <f t="shared" si="105"/>
        <v>131</v>
      </c>
      <c r="BQ146">
        <f t="shared" si="105"/>
        <v>852</v>
      </c>
      <c r="BU146" s="8"/>
      <c r="BZ146" s="8"/>
      <c r="CD146" s="8"/>
    </row>
    <row r="147" spans="4:82" ht="15.75">
      <c r="D147" t="s">
        <v>70</v>
      </c>
      <c r="E147">
        <v>278837</v>
      </c>
      <c r="G147">
        <v>102243</v>
      </c>
      <c r="H147">
        <v>12373</v>
      </c>
      <c r="I147">
        <v>362</v>
      </c>
      <c r="J147">
        <v>3007</v>
      </c>
      <c r="K147">
        <v>823</v>
      </c>
      <c r="L147">
        <v>1515</v>
      </c>
      <c r="M147">
        <v>2830</v>
      </c>
      <c r="N147">
        <v>27631</v>
      </c>
      <c r="O147">
        <v>105064</v>
      </c>
      <c r="P147">
        <v>9004</v>
      </c>
      <c r="Q147">
        <v>3046</v>
      </c>
      <c r="R147">
        <v>835</v>
      </c>
      <c r="S147">
        <v>35</v>
      </c>
      <c r="T147">
        <v>382</v>
      </c>
      <c r="U147">
        <v>6031</v>
      </c>
      <c r="V147">
        <v>122</v>
      </c>
      <c r="W147">
        <v>973</v>
      </c>
      <c r="X147">
        <v>2571</v>
      </c>
      <c r="Y147">
        <f t="shared" si="99"/>
        <v>278847</v>
      </c>
      <c r="Z147">
        <f t="shared" si="100"/>
        <v>269150</v>
      </c>
      <c r="AB147">
        <f>AB141+AB143+AB145</f>
        <v>740</v>
      </c>
      <c r="AD147">
        <f aca="true" t="shared" si="106" ref="AD147:BQ147">AD141+AD143+AD145</f>
        <v>307</v>
      </c>
      <c r="AE147">
        <f t="shared" si="106"/>
        <v>245</v>
      </c>
      <c r="AF147">
        <f t="shared" si="106"/>
        <v>257</v>
      </c>
      <c r="AG147">
        <f t="shared" si="106"/>
        <v>651</v>
      </c>
      <c r="AH147">
        <f t="shared" si="106"/>
        <v>51</v>
      </c>
      <c r="AI147">
        <f t="shared" si="106"/>
        <v>48</v>
      </c>
      <c r="AJ147">
        <f t="shared" si="106"/>
        <v>68</v>
      </c>
      <c r="AK147">
        <f t="shared" si="106"/>
        <v>125</v>
      </c>
      <c r="AL147">
        <f t="shared" si="106"/>
        <v>639</v>
      </c>
      <c r="AM147">
        <f t="shared" si="106"/>
        <v>390</v>
      </c>
      <c r="AN147">
        <f t="shared" si="106"/>
        <v>319</v>
      </c>
      <c r="AO147">
        <f t="shared" si="106"/>
        <v>423</v>
      </c>
      <c r="AP147">
        <f t="shared" si="106"/>
        <v>195</v>
      </c>
      <c r="AQ147">
        <f t="shared" si="106"/>
        <v>149</v>
      </c>
      <c r="AR147">
        <f t="shared" si="106"/>
        <v>154</v>
      </c>
      <c r="AS147">
        <f t="shared" si="106"/>
        <v>347</v>
      </c>
      <c r="AT147">
        <f t="shared" si="106"/>
        <v>210</v>
      </c>
      <c r="AU147">
        <f t="shared" si="106"/>
        <v>118</v>
      </c>
      <c r="AV147">
        <f t="shared" si="106"/>
        <v>56</v>
      </c>
      <c r="AW147">
        <f t="shared" si="106"/>
        <v>0</v>
      </c>
      <c r="AX147">
        <f t="shared" si="106"/>
        <v>74</v>
      </c>
      <c r="AY147">
        <f t="shared" si="106"/>
        <v>158</v>
      </c>
      <c r="AZ147">
        <f t="shared" si="106"/>
        <v>68</v>
      </c>
      <c r="BA147">
        <f t="shared" si="106"/>
        <v>91</v>
      </c>
      <c r="BB147">
        <f t="shared" si="106"/>
        <v>91</v>
      </c>
      <c r="BC147">
        <f t="shared" si="106"/>
        <v>57</v>
      </c>
      <c r="BD147">
        <f t="shared" si="106"/>
        <v>6</v>
      </c>
      <c r="BE147">
        <f t="shared" si="106"/>
        <v>4</v>
      </c>
      <c r="BF147">
        <f t="shared" si="106"/>
        <v>56</v>
      </c>
      <c r="BG147">
        <f t="shared" si="106"/>
        <v>56</v>
      </c>
      <c r="BH147">
        <f t="shared" si="106"/>
        <v>465</v>
      </c>
      <c r="BI147">
        <f t="shared" si="106"/>
        <v>92</v>
      </c>
      <c r="BJ147">
        <f t="shared" si="106"/>
        <v>16</v>
      </c>
      <c r="BK147">
        <f t="shared" si="106"/>
        <v>0</v>
      </c>
      <c r="BL147">
        <f t="shared" si="106"/>
        <v>40</v>
      </c>
      <c r="BM147">
        <f t="shared" si="106"/>
        <v>360</v>
      </c>
      <c r="BN147">
        <f t="shared" si="106"/>
        <v>6031</v>
      </c>
      <c r="BO147">
        <f t="shared" si="106"/>
        <v>122</v>
      </c>
      <c r="BP147">
        <f t="shared" si="106"/>
        <v>973</v>
      </c>
      <c r="BQ147">
        <f t="shared" si="106"/>
        <v>7126</v>
      </c>
      <c r="BU147" s="8"/>
      <c r="BZ147" s="8"/>
      <c r="CD147" s="8"/>
    </row>
    <row r="148" spans="1:82" ht="15.75">
      <c r="A148" s="15" t="s">
        <v>206</v>
      </c>
      <c r="B148" t="s">
        <v>207</v>
      </c>
      <c r="C148" t="s">
        <v>208</v>
      </c>
      <c r="BU148" s="8"/>
      <c r="BZ148" s="8"/>
      <c r="CD148" s="8"/>
    </row>
    <row r="149" spans="1:82" ht="15.75">
      <c r="A149" s="15" t="s">
        <v>206</v>
      </c>
      <c r="B149" t="s">
        <v>207</v>
      </c>
      <c r="C149" t="s">
        <v>208</v>
      </c>
      <c r="D149" t="s">
        <v>68</v>
      </c>
      <c r="Y149">
        <f>SUM(G149:X149)</f>
        <v>0</v>
      </c>
      <c r="Z149">
        <f>SUM(G149:T149)</f>
        <v>0</v>
      </c>
      <c r="AB149">
        <f>12+3+6+1</f>
        <v>22</v>
      </c>
      <c r="AH149">
        <v>1</v>
      </c>
      <c r="AM149">
        <v>18</v>
      </c>
      <c r="AO149">
        <v>6</v>
      </c>
      <c r="AP149">
        <f>1+1</f>
        <v>2</v>
      </c>
      <c r="AQ149">
        <v>3</v>
      </c>
      <c r="AR149">
        <f>1+4+1</f>
        <v>6</v>
      </c>
      <c r="AS149">
        <f>4+1+2</f>
        <v>7</v>
      </c>
      <c r="AT149">
        <f>2+13</f>
        <v>15</v>
      </c>
      <c r="AU149">
        <v>30</v>
      </c>
      <c r="AV149">
        <v>4</v>
      </c>
      <c r="AW149">
        <f>1+2</f>
        <v>3</v>
      </c>
      <c r="BA149">
        <v>3</v>
      </c>
      <c r="BC149">
        <v>1</v>
      </c>
      <c r="BF149">
        <v>2</v>
      </c>
      <c r="BI149">
        <v>1</v>
      </c>
      <c r="BN149">
        <f aca="true" t="shared" si="107" ref="BN149:BN156">SUM(AA149:BC149)</f>
        <v>121</v>
      </c>
      <c r="BO149">
        <f aca="true" t="shared" si="108" ref="BO149:BO156">SUM(BD149:BG149)</f>
        <v>2</v>
      </c>
      <c r="BP149">
        <f aca="true" t="shared" si="109" ref="BP149:BP156">SUM(BH149:BM149)</f>
        <v>1</v>
      </c>
      <c r="BQ149">
        <f aca="true" t="shared" si="110" ref="BQ149:BQ156">SUM(BN149:BP149)</f>
        <v>124</v>
      </c>
      <c r="BU149" s="8"/>
      <c r="BZ149" s="8"/>
      <c r="CD149" s="8"/>
    </row>
    <row r="150" spans="4:82" ht="15.75">
      <c r="D150" t="s">
        <v>70</v>
      </c>
      <c r="Y150">
        <f>SUM(G150:X150)</f>
        <v>0</v>
      </c>
      <c r="Z150">
        <f>SUM(G150:T150)</f>
        <v>0</v>
      </c>
      <c r="AB150">
        <f>311+60+94+3</f>
        <v>468</v>
      </c>
      <c r="AH150">
        <v>3</v>
      </c>
      <c r="AM150">
        <v>91</v>
      </c>
      <c r="AO150">
        <v>91</v>
      </c>
      <c r="AP150">
        <f>12+3</f>
        <v>15</v>
      </c>
      <c r="AQ150">
        <v>7</v>
      </c>
      <c r="AR150">
        <f>3+8+1</f>
        <v>12</v>
      </c>
      <c r="AS150">
        <f>11+5+4</f>
        <v>20</v>
      </c>
      <c r="AT150">
        <f>7+60</f>
        <v>67</v>
      </c>
      <c r="AU150">
        <v>96</v>
      </c>
      <c r="AV150">
        <v>6</v>
      </c>
      <c r="AW150">
        <f>3+4</f>
        <v>7</v>
      </c>
      <c r="BA150">
        <v>27</v>
      </c>
      <c r="BC150">
        <v>2</v>
      </c>
      <c r="BF150">
        <v>7</v>
      </c>
      <c r="BI150">
        <v>8</v>
      </c>
      <c r="BN150">
        <f t="shared" si="107"/>
        <v>912</v>
      </c>
      <c r="BO150">
        <f t="shared" si="108"/>
        <v>7</v>
      </c>
      <c r="BP150">
        <f t="shared" si="109"/>
        <v>8</v>
      </c>
      <c r="BQ150">
        <f t="shared" si="110"/>
        <v>927</v>
      </c>
      <c r="BU150" s="8"/>
      <c r="BZ150" s="8"/>
      <c r="CD150" s="8"/>
    </row>
    <row r="151" spans="2:82" ht="15.75">
      <c r="B151" t="s">
        <v>209</v>
      </c>
      <c r="C151" t="s">
        <v>210</v>
      </c>
      <c r="D151" t="s">
        <v>68</v>
      </c>
      <c r="Y151">
        <f>SUM(G151:X151)</f>
        <v>0</v>
      </c>
      <c r="Z151">
        <f>SUM(G151:T151)</f>
        <v>0</v>
      </c>
      <c r="AB151">
        <v>13</v>
      </c>
      <c r="AG151">
        <v>11</v>
      </c>
      <c r="AH151">
        <v>2</v>
      </c>
      <c r="AK151">
        <v>1</v>
      </c>
      <c r="AL151">
        <v>3</v>
      </c>
      <c r="AM151">
        <v>21</v>
      </c>
      <c r="AN151">
        <v>3</v>
      </c>
      <c r="AO151">
        <v>19</v>
      </c>
      <c r="AP151">
        <v>1</v>
      </c>
      <c r="AQ151">
        <v>10</v>
      </c>
      <c r="AX151">
        <v>2</v>
      </c>
      <c r="AY151">
        <v>2</v>
      </c>
      <c r="BA151">
        <v>10</v>
      </c>
      <c r="BB151">
        <v>80</v>
      </c>
      <c r="BC151">
        <v>39</v>
      </c>
      <c r="BI151">
        <v>6</v>
      </c>
      <c r="BN151">
        <f t="shared" si="107"/>
        <v>217</v>
      </c>
      <c r="BO151">
        <f t="shared" si="108"/>
        <v>0</v>
      </c>
      <c r="BP151">
        <f t="shared" si="109"/>
        <v>6</v>
      </c>
      <c r="BQ151">
        <f t="shared" si="110"/>
        <v>223</v>
      </c>
      <c r="BU151" s="8"/>
      <c r="BZ151" s="8"/>
      <c r="CD151" s="8"/>
    </row>
    <row r="152" spans="4:82" ht="15.75">
      <c r="D152" t="s">
        <v>70</v>
      </c>
      <c r="Y152">
        <f>SUM(G152:X152)</f>
        <v>0</v>
      </c>
      <c r="Z152">
        <f>SUM(G152:T152)</f>
        <v>0</v>
      </c>
      <c r="AB152">
        <v>100</v>
      </c>
      <c r="AG152">
        <v>74</v>
      </c>
      <c r="AH152">
        <v>11</v>
      </c>
      <c r="AK152">
        <v>13</v>
      </c>
      <c r="AL152">
        <v>32</v>
      </c>
      <c r="AM152">
        <v>109</v>
      </c>
      <c r="AN152">
        <v>4</v>
      </c>
      <c r="AO152">
        <v>139</v>
      </c>
      <c r="AP152">
        <v>2</v>
      </c>
      <c r="AQ152">
        <v>21</v>
      </c>
      <c r="AX152">
        <v>7</v>
      </c>
      <c r="AY152">
        <v>14</v>
      </c>
      <c r="BA152">
        <v>21</v>
      </c>
      <c r="BB152">
        <v>149</v>
      </c>
      <c r="BC152">
        <v>86</v>
      </c>
      <c r="BI152">
        <v>35</v>
      </c>
      <c r="BN152">
        <f t="shared" si="107"/>
        <v>782</v>
      </c>
      <c r="BO152">
        <f t="shared" si="108"/>
        <v>0</v>
      </c>
      <c r="BP152">
        <f t="shared" si="109"/>
        <v>35</v>
      </c>
      <c r="BQ152">
        <f t="shared" si="110"/>
        <v>817</v>
      </c>
      <c r="BU152" s="8"/>
      <c r="BZ152" s="8"/>
      <c r="CD152" s="8"/>
    </row>
    <row r="153" spans="2:82" ht="15.75">
      <c r="B153" t="s">
        <v>211</v>
      </c>
      <c r="D153" t="s">
        <v>68</v>
      </c>
      <c r="AB153">
        <v>85</v>
      </c>
      <c r="AD153">
        <v>23</v>
      </c>
      <c r="AE153">
        <v>24</v>
      </c>
      <c r="AG153">
        <v>26</v>
      </c>
      <c r="AH153">
        <v>6</v>
      </c>
      <c r="AJ153">
        <v>22</v>
      </c>
      <c r="AK153">
        <v>19</v>
      </c>
      <c r="AL153">
        <v>46</v>
      </c>
      <c r="AM153">
        <v>14</v>
      </c>
      <c r="AN153">
        <v>14</v>
      </c>
      <c r="AO153">
        <v>10</v>
      </c>
      <c r="AP153">
        <v>37</v>
      </c>
      <c r="AQ153">
        <v>18</v>
      </c>
      <c r="AR153">
        <v>8</v>
      </c>
      <c r="AS153">
        <v>4</v>
      </c>
      <c r="AT153">
        <v>4</v>
      </c>
      <c r="AV153">
        <v>5</v>
      </c>
      <c r="AX153">
        <v>8</v>
      </c>
      <c r="AY153">
        <v>6</v>
      </c>
      <c r="AZ153">
        <v>3</v>
      </c>
      <c r="BA153">
        <v>16</v>
      </c>
      <c r="BB153">
        <v>25</v>
      </c>
      <c r="BC153">
        <v>3</v>
      </c>
      <c r="BD153">
        <v>20</v>
      </c>
      <c r="BE153">
        <v>3</v>
      </c>
      <c r="BG153">
        <v>10</v>
      </c>
      <c r="BI153">
        <v>1</v>
      </c>
      <c r="BJ153">
        <v>5</v>
      </c>
      <c r="BL153">
        <v>10</v>
      </c>
      <c r="BN153">
        <f t="shared" si="107"/>
        <v>426</v>
      </c>
      <c r="BO153">
        <f t="shared" si="108"/>
        <v>33</v>
      </c>
      <c r="BP153">
        <f t="shared" si="109"/>
        <v>16</v>
      </c>
      <c r="BQ153">
        <f t="shared" si="110"/>
        <v>475</v>
      </c>
      <c r="BU153" s="8"/>
      <c r="BZ153" s="8"/>
      <c r="CD153" s="8"/>
    </row>
    <row r="154" spans="4:82" ht="15.75">
      <c r="D154" t="s">
        <v>70</v>
      </c>
      <c r="AB154">
        <v>708</v>
      </c>
      <c r="AD154">
        <v>96</v>
      </c>
      <c r="AE154">
        <v>68</v>
      </c>
      <c r="AG154">
        <v>223</v>
      </c>
      <c r="AH154">
        <v>52</v>
      </c>
      <c r="AJ154">
        <v>87</v>
      </c>
      <c r="AK154">
        <v>260</v>
      </c>
      <c r="AL154">
        <v>317</v>
      </c>
      <c r="AM154">
        <v>91</v>
      </c>
      <c r="AN154">
        <v>49</v>
      </c>
      <c r="AO154">
        <v>117</v>
      </c>
      <c r="AP154">
        <v>149</v>
      </c>
      <c r="AQ154">
        <v>67</v>
      </c>
      <c r="AR154">
        <v>25</v>
      </c>
      <c r="AS154">
        <v>13</v>
      </c>
      <c r="AT154">
        <v>18</v>
      </c>
      <c r="AV154">
        <v>20</v>
      </c>
      <c r="AX154">
        <v>58</v>
      </c>
      <c r="AY154">
        <v>54</v>
      </c>
      <c r="AZ154">
        <v>15</v>
      </c>
      <c r="BA154">
        <v>47</v>
      </c>
      <c r="BB154">
        <v>65</v>
      </c>
      <c r="BC154">
        <v>21</v>
      </c>
      <c r="BD154">
        <v>41</v>
      </c>
      <c r="BE154">
        <v>5</v>
      </c>
      <c r="BG154">
        <v>37</v>
      </c>
      <c r="BI154">
        <v>7</v>
      </c>
      <c r="BJ154">
        <v>46</v>
      </c>
      <c r="BL154">
        <v>52</v>
      </c>
      <c r="BN154">
        <f t="shared" si="107"/>
        <v>2620</v>
      </c>
      <c r="BO154">
        <f t="shared" si="108"/>
        <v>83</v>
      </c>
      <c r="BP154">
        <f t="shared" si="109"/>
        <v>105</v>
      </c>
      <c r="BQ154">
        <f t="shared" si="110"/>
        <v>2808</v>
      </c>
      <c r="BU154" s="8"/>
      <c r="BZ154" s="8"/>
      <c r="CD154" s="8"/>
    </row>
    <row r="155" spans="2:82" ht="15.75">
      <c r="B155" t="s">
        <v>212</v>
      </c>
      <c r="D155" t="s">
        <v>68</v>
      </c>
      <c r="AB155">
        <v>65</v>
      </c>
      <c r="AD155">
        <v>7</v>
      </c>
      <c r="AE155">
        <v>7</v>
      </c>
      <c r="AG155">
        <v>6</v>
      </c>
      <c r="AH155">
        <v>3</v>
      </c>
      <c r="AI155">
        <v>7</v>
      </c>
      <c r="AJ155">
        <v>4</v>
      </c>
      <c r="AK155">
        <v>8</v>
      </c>
      <c r="AL155">
        <v>11</v>
      </c>
      <c r="AM155">
        <v>5</v>
      </c>
      <c r="AN155">
        <v>2</v>
      </c>
      <c r="AO155">
        <v>2</v>
      </c>
      <c r="AP155">
        <v>22</v>
      </c>
      <c r="AQ155">
        <v>7</v>
      </c>
      <c r="AR155">
        <v>1</v>
      </c>
      <c r="AS155">
        <v>1</v>
      </c>
      <c r="AT155">
        <v>7</v>
      </c>
      <c r="AU155">
        <v>4</v>
      </c>
      <c r="AV155">
        <v>1</v>
      </c>
      <c r="AX155">
        <v>8</v>
      </c>
      <c r="AY155">
        <v>5</v>
      </c>
      <c r="AZ155">
        <v>1</v>
      </c>
      <c r="BA155">
        <v>6</v>
      </c>
      <c r="BB155">
        <v>8</v>
      </c>
      <c r="BC155">
        <v>2</v>
      </c>
      <c r="BD155">
        <v>12</v>
      </c>
      <c r="BE155">
        <v>1</v>
      </c>
      <c r="BF155">
        <v>3</v>
      </c>
      <c r="BG155">
        <v>1</v>
      </c>
      <c r="BH155">
        <v>10</v>
      </c>
      <c r="BI155">
        <v>3</v>
      </c>
      <c r="BJ155">
        <v>1</v>
      </c>
      <c r="BL155">
        <v>4</v>
      </c>
      <c r="BN155">
        <f t="shared" si="107"/>
        <v>200</v>
      </c>
      <c r="BO155">
        <f t="shared" si="108"/>
        <v>17</v>
      </c>
      <c r="BP155">
        <f t="shared" si="109"/>
        <v>18</v>
      </c>
      <c r="BQ155">
        <f t="shared" si="110"/>
        <v>235</v>
      </c>
      <c r="BU155" s="8"/>
      <c r="BZ155" s="8"/>
      <c r="CD155" s="8"/>
    </row>
    <row r="156" spans="4:82" ht="15.75">
      <c r="D156" t="s">
        <v>70</v>
      </c>
      <c r="AB156">
        <v>611</v>
      </c>
      <c r="AD156">
        <v>20</v>
      </c>
      <c r="AE156">
        <v>56</v>
      </c>
      <c r="AG156">
        <v>67</v>
      </c>
      <c r="AH156">
        <v>40</v>
      </c>
      <c r="AI156">
        <v>127</v>
      </c>
      <c r="AJ156">
        <v>40</v>
      </c>
      <c r="AK156">
        <v>137</v>
      </c>
      <c r="AL156">
        <v>137</v>
      </c>
      <c r="AM156">
        <v>70</v>
      </c>
      <c r="AN156">
        <v>21</v>
      </c>
      <c r="AO156">
        <v>59</v>
      </c>
      <c r="AP156">
        <v>192</v>
      </c>
      <c r="AQ156">
        <v>53</v>
      </c>
      <c r="AR156">
        <v>6</v>
      </c>
      <c r="AS156">
        <v>5</v>
      </c>
      <c r="AT156">
        <v>57</v>
      </c>
      <c r="AU156">
        <v>24</v>
      </c>
      <c r="AV156">
        <v>2</v>
      </c>
      <c r="AX156">
        <v>66</v>
      </c>
      <c r="AY156">
        <v>13</v>
      </c>
      <c r="AZ156">
        <v>10</v>
      </c>
      <c r="BA156">
        <v>20</v>
      </c>
      <c r="BB156">
        <v>14</v>
      </c>
      <c r="BC156">
        <v>10</v>
      </c>
      <c r="BD156">
        <v>54</v>
      </c>
      <c r="BE156">
        <v>3</v>
      </c>
      <c r="BF156">
        <v>38</v>
      </c>
      <c r="BG156">
        <v>21</v>
      </c>
      <c r="BH156">
        <v>69</v>
      </c>
      <c r="BI156">
        <v>19</v>
      </c>
      <c r="BJ156">
        <v>5</v>
      </c>
      <c r="BL156">
        <v>47</v>
      </c>
      <c r="BN156">
        <f t="shared" si="107"/>
        <v>1857</v>
      </c>
      <c r="BO156">
        <f t="shared" si="108"/>
        <v>116</v>
      </c>
      <c r="BP156">
        <f t="shared" si="109"/>
        <v>140</v>
      </c>
      <c r="BQ156">
        <f t="shared" si="110"/>
        <v>2113</v>
      </c>
      <c r="BU156" s="8"/>
      <c r="BZ156" s="8"/>
      <c r="CD156" s="8"/>
    </row>
    <row r="157" spans="1:82" ht="15.75">
      <c r="A157" s="15" t="s">
        <v>206</v>
      </c>
      <c r="C157" t="s">
        <v>134</v>
      </c>
      <c r="D157" t="s">
        <v>68</v>
      </c>
      <c r="E157">
        <v>4871</v>
      </c>
      <c r="G157">
        <v>1155</v>
      </c>
      <c r="H157">
        <v>151</v>
      </c>
      <c r="I157">
        <v>36</v>
      </c>
      <c r="J157">
        <v>95</v>
      </c>
      <c r="K157">
        <v>21</v>
      </c>
      <c r="L157">
        <v>11</v>
      </c>
      <c r="M157">
        <v>32</v>
      </c>
      <c r="N157">
        <v>208</v>
      </c>
      <c r="O157">
        <v>1318</v>
      </c>
      <c r="P157">
        <v>413</v>
      </c>
      <c r="Q157">
        <v>169</v>
      </c>
      <c r="R157">
        <v>128</v>
      </c>
      <c r="S157">
        <v>10</v>
      </c>
      <c r="T157">
        <v>1</v>
      </c>
      <c r="U157">
        <v>964</v>
      </c>
      <c r="V157">
        <v>52</v>
      </c>
      <c r="W157">
        <v>41</v>
      </c>
      <c r="X157">
        <v>66</v>
      </c>
      <c r="Y157">
        <f>SUM(G157:X157)</f>
        <v>4871</v>
      </c>
      <c r="Z157">
        <f>SUM(G157:T157)</f>
        <v>3748</v>
      </c>
      <c r="AB157">
        <f>AB149+AB151+AB153+AB155</f>
        <v>185</v>
      </c>
      <c r="AD157">
        <f aca="true" t="shared" si="111" ref="AD157:BQ157">AD149+AD151+AD153+AD155</f>
        <v>30</v>
      </c>
      <c r="AE157">
        <f t="shared" si="111"/>
        <v>31</v>
      </c>
      <c r="AF157">
        <f t="shared" si="111"/>
        <v>0</v>
      </c>
      <c r="AG157">
        <f t="shared" si="111"/>
        <v>43</v>
      </c>
      <c r="AH157">
        <f t="shared" si="111"/>
        <v>12</v>
      </c>
      <c r="AI157">
        <f t="shared" si="111"/>
        <v>7</v>
      </c>
      <c r="AJ157">
        <f t="shared" si="111"/>
        <v>26</v>
      </c>
      <c r="AK157">
        <f t="shared" si="111"/>
        <v>28</v>
      </c>
      <c r="AL157">
        <f t="shared" si="111"/>
        <v>60</v>
      </c>
      <c r="AM157">
        <f t="shared" si="111"/>
        <v>58</v>
      </c>
      <c r="AN157">
        <f t="shared" si="111"/>
        <v>19</v>
      </c>
      <c r="AO157">
        <f t="shared" si="111"/>
        <v>37</v>
      </c>
      <c r="AP157">
        <f t="shared" si="111"/>
        <v>62</v>
      </c>
      <c r="AQ157">
        <f t="shared" si="111"/>
        <v>38</v>
      </c>
      <c r="AR157">
        <f t="shared" si="111"/>
        <v>15</v>
      </c>
      <c r="AS157">
        <f t="shared" si="111"/>
        <v>12</v>
      </c>
      <c r="AT157">
        <f t="shared" si="111"/>
        <v>26</v>
      </c>
      <c r="AU157">
        <f t="shared" si="111"/>
        <v>34</v>
      </c>
      <c r="AV157">
        <f t="shared" si="111"/>
        <v>10</v>
      </c>
      <c r="AW157">
        <f t="shared" si="111"/>
        <v>3</v>
      </c>
      <c r="AX157">
        <f t="shared" si="111"/>
        <v>18</v>
      </c>
      <c r="AY157">
        <f t="shared" si="111"/>
        <v>13</v>
      </c>
      <c r="AZ157">
        <f t="shared" si="111"/>
        <v>4</v>
      </c>
      <c r="BA157">
        <f t="shared" si="111"/>
        <v>35</v>
      </c>
      <c r="BB157">
        <f t="shared" si="111"/>
        <v>113</v>
      </c>
      <c r="BC157">
        <f t="shared" si="111"/>
        <v>45</v>
      </c>
      <c r="BD157">
        <f t="shared" si="111"/>
        <v>32</v>
      </c>
      <c r="BE157">
        <f t="shared" si="111"/>
        <v>4</v>
      </c>
      <c r="BF157">
        <f t="shared" si="111"/>
        <v>5</v>
      </c>
      <c r="BG157">
        <f t="shared" si="111"/>
        <v>11</v>
      </c>
      <c r="BH157">
        <f t="shared" si="111"/>
        <v>10</v>
      </c>
      <c r="BI157">
        <f t="shared" si="111"/>
        <v>11</v>
      </c>
      <c r="BJ157">
        <f t="shared" si="111"/>
        <v>6</v>
      </c>
      <c r="BK157">
        <f t="shared" si="111"/>
        <v>0</v>
      </c>
      <c r="BL157">
        <f t="shared" si="111"/>
        <v>14</v>
      </c>
      <c r="BM157">
        <f t="shared" si="111"/>
        <v>0</v>
      </c>
      <c r="BN157">
        <f t="shared" si="111"/>
        <v>964</v>
      </c>
      <c r="BO157">
        <f t="shared" si="111"/>
        <v>52</v>
      </c>
      <c r="BP157">
        <f t="shared" si="111"/>
        <v>41</v>
      </c>
      <c r="BQ157">
        <f t="shared" si="111"/>
        <v>1057</v>
      </c>
      <c r="BU157" s="8"/>
      <c r="BZ157" s="8"/>
      <c r="CD157" s="8"/>
    </row>
    <row r="158" spans="4:82" ht="15.75">
      <c r="D158" t="s">
        <v>70</v>
      </c>
      <c r="E158">
        <v>61120</v>
      </c>
      <c r="G158">
        <v>30384</v>
      </c>
      <c r="H158">
        <v>1169</v>
      </c>
      <c r="I158">
        <v>329</v>
      </c>
      <c r="J158">
        <v>979</v>
      </c>
      <c r="K158">
        <v>148</v>
      </c>
      <c r="L158">
        <v>147</v>
      </c>
      <c r="M158">
        <v>882</v>
      </c>
      <c r="N158">
        <v>985</v>
      </c>
      <c r="O158">
        <v>12062</v>
      </c>
      <c r="P158">
        <v>4415</v>
      </c>
      <c r="Q158">
        <v>1040</v>
      </c>
      <c r="R158">
        <v>778</v>
      </c>
      <c r="S158">
        <v>44</v>
      </c>
      <c r="T158">
        <v>20</v>
      </c>
      <c r="U158">
        <v>6171</v>
      </c>
      <c r="V158">
        <v>206</v>
      </c>
      <c r="W158">
        <v>288</v>
      </c>
      <c r="X158">
        <v>1073</v>
      </c>
      <c r="Y158">
        <f>SUM(G158:X158)</f>
        <v>61120</v>
      </c>
      <c r="Z158">
        <f>SUM(G158:T158)</f>
        <v>53382</v>
      </c>
      <c r="AB158">
        <f>AB150+AB152+AB154+AB156</f>
        <v>1887</v>
      </c>
      <c r="AD158">
        <f aca="true" t="shared" si="112" ref="AD158:BQ158">AD150+AD152+AD154+AD156</f>
        <v>116</v>
      </c>
      <c r="AE158">
        <f t="shared" si="112"/>
        <v>124</v>
      </c>
      <c r="AF158">
        <f t="shared" si="112"/>
        <v>0</v>
      </c>
      <c r="AG158">
        <f t="shared" si="112"/>
        <v>364</v>
      </c>
      <c r="AH158">
        <f t="shared" si="112"/>
        <v>106</v>
      </c>
      <c r="AI158">
        <f t="shared" si="112"/>
        <v>127</v>
      </c>
      <c r="AJ158">
        <f t="shared" si="112"/>
        <v>127</v>
      </c>
      <c r="AK158">
        <f t="shared" si="112"/>
        <v>410</v>
      </c>
      <c r="AL158">
        <f t="shared" si="112"/>
        <v>486</v>
      </c>
      <c r="AM158">
        <f t="shared" si="112"/>
        <v>361</v>
      </c>
      <c r="AN158">
        <f t="shared" si="112"/>
        <v>74</v>
      </c>
      <c r="AO158">
        <f t="shared" si="112"/>
        <v>406</v>
      </c>
      <c r="AP158">
        <f t="shared" si="112"/>
        <v>358</v>
      </c>
      <c r="AQ158">
        <f t="shared" si="112"/>
        <v>148</v>
      </c>
      <c r="AR158">
        <f t="shared" si="112"/>
        <v>43</v>
      </c>
      <c r="AS158">
        <f t="shared" si="112"/>
        <v>38</v>
      </c>
      <c r="AT158">
        <f t="shared" si="112"/>
        <v>142</v>
      </c>
      <c r="AU158">
        <f t="shared" si="112"/>
        <v>120</v>
      </c>
      <c r="AV158">
        <f t="shared" si="112"/>
        <v>28</v>
      </c>
      <c r="AW158">
        <f t="shared" si="112"/>
        <v>7</v>
      </c>
      <c r="AX158">
        <f t="shared" si="112"/>
        <v>131</v>
      </c>
      <c r="AY158">
        <f t="shared" si="112"/>
        <v>81</v>
      </c>
      <c r="AZ158">
        <f t="shared" si="112"/>
        <v>25</v>
      </c>
      <c r="BA158">
        <f t="shared" si="112"/>
        <v>115</v>
      </c>
      <c r="BB158">
        <f t="shared" si="112"/>
        <v>228</v>
      </c>
      <c r="BC158">
        <f t="shared" si="112"/>
        <v>119</v>
      </c>
      <c r="BD158">
        <f t="shared" si="112"/>
        <v>95</v>
      </c>
      <c r="BE158">
        <f t="shared" si="112"/>
        <v>8</v>
      </c>
      <c r="BF158">
        <f t="shared" si="112"/>
        <v>45</v>
      </c>
      <c r="BG158">
        <f t="shared" si="112"/>
        <v>58</v>
      </c>
      <c r="BH158">
        <f t="shared" si="112"/>
        <v>69</v>
      </c>
      <c r="BI158">
        <f t="shared" si="112"/>
        <v>69</v>
      </c>
      <c r="BJ158">
        <f t="shared" si="112"/>
        <v>51</v>
      </c>
      <c r="BK158">
        <f t="shared" si="112"/>
        <v>0</v>
      </c>
      <c r="BL158">
        <f t="shared" si="112"/>
        <v>99</v>
      </c>
      <c r="BM158">
        <f t="shared" si="112"/>
        <v>0</v>
      </c>
      <c r="BN158">
        <f t="shared" si="112"/>
        <v>6171</v>
      </c>
      <c r="BO158">
        <f t="shared" si="112"/>
        <v>206</v>
      </c>
      <c r="BP158">
        <f t="shared" si="112"/>
        <v>288</v>
      </c>
      <c r="BQ158">
        <f t="shared" si="112"/>
        <v>6665</v>
      </c>
      <c r="BU158" s="8"/>
      <c r="BZ158" s="8"/>
      <c r="CD158" s="8"/>
    </row>
    <row r="159" spans="1:82" ht="15.75">
      <c r="A159" s="15" t="s">
        <v>213</v>
      </c>
      <c r="B159" t="s">
        <v>214</v>
      </c>
      <c r="C159" t="s">
        <v>215</v>
      </c>
      <c r="BU159" s="8"/>
      <c r="BZ159" s="8"/>
      <c r="CD159" s="8"/>
    </row>
    <row r="160" spans="1:82" ht="15.75">
      <c r="A160" s="15" t="s">
        <v>216</v>
      </c>
      <c r="B160" t="s">
        <v>214</v>
      </c>
      <c r="C160" t="s">
        <v>215</v>
      </c>
      <c r="D160" t="s">
        <v>68</v>
      </c>
      <c r="Y160">
        <f>SUM(G160:X160)</f>
        <v>0</v>
      </c>
      <c r="Z160">
        <f>SUM(G160:T160)</f>
        <v>0</v>
      </c>
      <c r="AB160">
        <f>2+12+2+16+3+17+1+20+2</f>
        <v>75</v>
      </c>
      <c r="AE160">
        <v>2</v>
      </c>
      <c r="AF160">
        <v>11</v>
      </c>
      <c r="AG160">
        <v>3</v>
      </c>
      <c r="AH160">
        <f>86+16</f>
        <v>102</v>
      </c>
      <c r="AI160">
        <v>8</v>
      </c>
      <c r="AJ160">
        <v>3</v>
      </c>
      <c r="AK160">
        <f>2+3</f>
        <v>5</v>
      </c>
      <c r="AL160">
        <f>7+42+4+1</f>
        <v>54</v>
      </c>
      <c r="AM160">
        <f>9+17+1+1</f>
        <v>28</v>
      </c>
      <c r="AN160">
        <f>2+5+5</f>
        <v>12</v>
      </c>
      <c r="AO160">
        <f>80+102+1</f>
        <v>183</v>
      </c>
      <c r="AP160">
        <f>3+156+35+4+3+2</f>
        <v>203</v>
      </c>
      <c r="AQ160">
        <f>120+4+24</f>
        <v>148</v>
      </c>
      <c r="AR160">
        <f>12+1</f>
        <v>13</v>
      </c>
      <c r="AS160">
        <v>4</v>
      </c>
      <c r="AU160">
        <f>1+9</f>
        <v>10</v>
      </c>
      <c r="AX160">
        <f>3+2</f>
        <v>5</v>
      </c>
      <c r="AY160">
        <f>26+14</f>
        <v>40</v>
      </c>
      <c r="AZ160">
        <v>6</v>
      </c>
      <c r="BA160">
        <v>12</v>
      </c>
      <c r="BB160">
        <v>44</v>
      </c>
      <c r="BC160">
        <f>3+12+4</f>
        <v>19</v>
      </c>
      <c r="BD160">
        <f>5+1</f>
        <v>6</v>
      </c>
      <c r="BG160">
        <v>15</v>
      </c>
      <c r="BH160">
        <v>2</v>
      </c>
      <c r="BI160">
        <v>6</v>
      </c>
      <c r="BM160">
        <v>6</v>
      </c>
      <c r="BN160">
        <f aca="true" t="shared" si="113" ref="BN160:BN175">SUM(AA160:BC160)</f>
        <v>990</v>
      </c>
      <c r="BO160">
        <f aca="true" t="shared" si="114" ref="BO160:BO175">SUM(BD160:BG160)</f>
        <v>21</v>
      </c>
      <c r="BP160">
        <f aca="true" t="shared" si="115" ref="BP160:BP175">SUM(BH160:BM160)</f>
        <v>14</v>
      </c>
      <c r="BQ160">
        <f aca="true" t="shared" si="116" ref="BQ160:BQ175">SUM(BN160:BP160)</f>
        <v>1025</v>
      </c>
      <c r="BU160" s="8"/>
      <c r="BZ160" s="8"/>
      <c r="CD160" s="8"/>
    </row>
    <row r="161" spans="4:82" ht="15.75">
      <c r="D161" t="s">
        <v>70</v>
      </c>
      <c r="Y161">
        <f>SUM(G161:X161)</f>
        <v>0</v>
      </c>
      <c r="Z161">
        <f>SUM(G161:T161)</f>
        <v>0</v>
      </c>
      <c r="AB161">
        <f>112+253+18+78+14+34+4+247+20</f>
        <v>780</v>
      </c>
      <c r="AE161">
        <v>3</v>
      </c>
      <c r="AF161">
        <v>47</v>
      </c>
      <c r="AG161">
        <v>14</v>
      </c>
      <c r="AH161">
        <f>147+48</f>
        <v>195</v>
      </c>
      <c r="AI161">
        <v>129</v>
      </c>
      <c r="AJ161">
        <v>31</v>
      </c>
      <c r="AK161">
        <f>5+6</f>
        <v>11</v>
      </c>
      <c r="AL161">
        <f>65+64+48+4</f>
        <v>181</v>
      </c>
      <c r="AM161">
        <f>199+36+9+7</f>
        <v>251</v>
      </c>
      <c r="AN161">
        <f>14+16+16</f>
        <v>46</v>
      </c>
      <c r="AO161">
        <f>336+168+5</f>
        <v>509</v>
      </c>
      <c r="AP161">
        <f>7+106+118+4+7+4</f>
        <v>246</v>
      </c>
      <c r="AQ161">
        <f>276+27+32</f>
        <v>335</v>
      </c>
      <c r="AR161">
        <f>13+2</f>
        <v>15</v>
      </c>
      <c r="AS161">
        <v>8</v>
      </c>
      <c r="AU161">
        <f>3+19</f>
        <v>22</v>
      </c>
      <c r="AX161">
        <f>5+3</f>
        <v>8</v>
      </c>
      <c r="AY161">
        <f>233+133</f>
        <v>366</v>
      </c>
      <c r="AZ161">
        <v>7</v>
      </c>
      <c r="BA161">
        <v>36</v>
      </c>
      <c r="BB161">
        <v>99</v>
      </c>
      <c r="BC161">
        <f>7+34+8</f>
        <v>49</v>
      </c>
      <c r="BD161">
        <f>15+19</f>
        <v>34</v>
      </c>
      <c r="BG161">
        <v>183</v>
      </c>
      <c r="BH161">
        <v>12</v>
      </c>
      <c r="BI161">
        <v>13</v>
      </c>
      <c r="BM161">
        <v>18</v>
      </c>
      <c r="BN161">
        <f t="shared" si="113"/>
        <v>3388</v>
      </c>
      <c r="BO161">
        <f t="shared" si="114"/>
        <v>217</v>
      </c>
      <c r="BP161">
        <f t="shared" si="115"/>
        <v>43</v>
      </c>
      <c r="BQ161">
        <f t="shared" si="116"/>
        <v>3648</v>
      </c>
      <c r="BU161" s="8"/>
      <c r="BZ161" s="8"/>
      <c r="CD161" s="8"/>
    </row>
    <row r="162" spans="2:82" ht="15.75">
      <c r="B162" t="s">
        <v>217</v>
      </c>
      <c r="C162" t="s">
        <v>218</v>
      </c>
      <c r="D162" t="s">
        <v>68</v>
      </c>
      <c r="AB162">
        <v>19</v>
      </c>
      <c r="AD162">
        <v>2</v>
      </c>
      <c r="AG162">
        <v>1</v>
      </c>
      <c r="AH162">
        <v>1</v>
      </c>
      <c r="AK162">
        <v>1</v>
      </c>
      <c r="AL162">
        <v>3</v>
      </c>
      <c r="AM162">
        <v>1</v>
      </c>
      <c r="AN162">
        <v>2</v>
      </c>
      <c r="AP162">
        <v>8</v>
      </c>
      <c r="AQ162">
        <v>2</v>
      </c>
      <c r="AR162">
        <v>1</v>
      </c>
      <c r="AS162">
        <v>2</v>
      </c>
      <c r="AT162">
        <v>1</v>
      </c>
      <c r="AU162">
        <v>1</v>
      </c>
      <c r="AX162">
        <v>3</v>
      </c>
      <c r="AY162">
        <v>1</v>
      </c>
      <c r="BA162">
        <v>2</v>
      </c>
      <c r="BB162">
        <v>4</v>
      </c>
      <c r="BD162">
        <v>2</v>
      </c>
      <c r="BG162">
        <v>2</v>
      </c>
      <c r="BH162">
        <v>1</v>
      </c>
      <c r="BJ162">
        <v>1</v>
      </c>
      <c r="BN162">
        <f t="shared" si="113"/>
        <v>55</v>
      </c>
      <c r="BO162">
        <f t="shared" si="114"/>
        <v>4</v>
      </c>
      <c r="BP162">
        <f t="shared" si="115"/>
        <v>2</v>
      </c>
      <c r="BQ162">
        <f t="shared" si="116"/>
        <v>61</v>
      </c>
      <c r="BU162" s="8"/>
      <c r="BZ162" s="8"/>
      <c r="CD162" s="8"/>
    </row>
    <row r="163" spans="4:82" ht="15.75">
      <c r="D163" t="s">
        <v>70</v>
      </c>
      <c r="AB163">
        <v>201</v>
      </c>
      <c r="AD163">
        <v>20</v>
      </c>
      <c r="AG163">
        <v>7</v>
      </c>
      <c r="AH163">
        <v>9</v>
      </c>
      <c r="AK163">
        <v>3</v>
      </c>
      <c r="AL163">
        <v>37</v>
      </c>
      <c r="AM163">
        <v>6</v>
      </c>
      <c r="AN163">
        <v>6</v>
      </c>
      <c r="AP163">
        <v>36</v>
      </c>
      <c r="AQ163">
        <v>6</v>
      </c>
      <c r="AR163">
        <v>1</v>
      </c>
      <c r="AS163">
        <v>7</v>
      </c>
      <c r="AT163">
        <v>1</v>
      </c>
      <c r="AU163">
        <v>2</v>
      </c>
      <c r="AX163">
        <v>3</v>
      </c>
      <c r="AY163">
        <v>18</v>
      </c>
      <c r="BA163">
        <v>4</v>
      </c>
      <c r="BB163">
        <v>4</v>
      </c>
      <c r="BD163">
        <v>17</v>
      </c>
      <c r="BG163">
        <v>3</v>
      </c>
      <c r="BH163">
        <v>5</v>
      </c>
      <c r="BJ163">
        <v>14</v>
      </c>
      <c r="BN163">
        <f t="shared" si="113"/>
        <v>371</v>
      </c>
      <c r="BO163">
        <f t="shared" si="114"/>
        <v>20</v>
      </c>
      <c r="BP163">
        <f t="shared" si="115"/>
        <v>19</v>
      </c>
      <c r="BQ163">
        <f t="shared" si="116"/>
        <v>410</v>
      </c>
      <c r="BU163" s="8"/>
      <c r="BZ163" s="8"/>
      <c r="CD163" s="8"/>
    </row>
    <row r="164" spans="2:82" ht="15.75">
      <c r="B164" t="s">
        <v>219</v>
      </c>
      <c r="D164" t="s">
        <v>68</v>
      </c>
      <c r="AB164">
        <v>327</v>
      </c>
      <c r="AE164">
        <v>12</v>
      </c>
      <c r="AH164">
        <v>45</v>
      </c>
      <c r="AJ164">
        <v>2</v>
      </c>
      <c r="AL164">
        <v>41</v>
      </c>
      <c r="AN164">
        <v>7</v>
      </c>
      <c r="AP164">
        <v>149</v>
      </c>
      <c r="AQ164">
        <v>57</v>
      </c>
      <c r="AR164">
        <v>4</v>
      </c>
      <c r="AS164">
        <v>20</v>
      </c>
      <c r="AT164">
        <v>49</v>
      </c>
      <c r="AV164">
        <v>1</v>
      </c>
      <c r="BC164">
        <v>5</v>
      </c>
      <c r="BD164">
        <v>24</v>
      </c>
      <c r="BE164">
        <v>1</v>
      </c>
      <c r="BG164">
        <v>39</v>
      </c>
      <c r="BN164">
        <f t="shared" si="113"/>
        <v>719</v>
      </c>
      <c r="BO164">
        <f t="shared" si="114"/>
        <v>64</v>
      </c>
      <c r="BP164">
        <f t="shared" si="115"/>
        <v>0</v>
      </c>
      <c r="BQ164">
        <f t="shared" si="116"/>
        <v>783</v>
      </c>
      <c r="BU164" s="8"/>
      <c r="BZ164" s="8"/>
      <c r="CD164" s="8"/>
    </row>
    <row r="165" spans="4:82" ht="15.75">
      <c r="D165" t="s">
        <v>70</v>
      </c>
      <c r="AB165">
        <v>404</v>
      </c>
      <c r="AE165">
        <v>182</v>
      </c>
      <c r="AH165">
        <v>94</v>
      </c>
      <c r="AJ165">
        <v>7</v>
      </c>
      <c r="AL165">
        <v>60</v>
      </c>
      <c r="AN165">
        <v>13</v>
      </c>
      <c r="AP165">
        <v>99</v>
      </c>
      <c r="AQ165">
        <v>58</v>
      </c>
      <c r="AR165">
        <v>2</v>
      </c>
      <c r="AS165">
        <v>42</v>
      </c>
      <c r="AT165">
        <v>51</v>
      </c>
      <c r="AV165">
        <v>1</v>
      </c>
      <c r="BC165">
        <v>5</v>
      </c>
      <c r="BD165">
        <v>13</v>
      </c>
      <c r="BE165">
        <v>1</v>
      </c>
      <c r="BG165">
        <v>28</v>
      </c>
      <c r="BN165">
        <f t="shared" si="113"/>
        <v>1018</v>
      </c>
      <c r="BO165">
        <f t="shared" si="114"/>
        <v>42</v>
      </c>
      <c r="BP165">
        <f t="shared" si="115"/>
        <v>0</v>
      </c>
      <c r="BQ165">
        <f t="shared" si="116"/>
        <v>1060</v>
      </c>
      <c r="BU165" s="8"/>
      <c r="BZ165" s="8"/>
      <c r="CD165" s="8"/>
    </row>
    <row r="166" spans="2:82" ht="15.75">
      <c r="B166" t="s">
        <v>220</v>
      </c>
      <c r="C166" t="s">
        <v>221</v>
      </c>
      <c r="D166" t="s">
        <v>68</v>
      </c>
      <c r="Y166">
        <f aca="true" t="shared" si="117" ref="Y166:Y171">SUM(G166:X166)</f>
        <v>0</v>
      </c>
      <c r="Z166">
        <f aca="true" t="shared" si="118" ref="Z166:Z171">SUM(G166:T166)</f>
        <v>0</v>
      </c>
      <c r="AB166">
        <f>1078+2</f>
        <v>1080</v>
      </c>
      <c r="AD166">
        <v>617</v>
      </c>
      <c r="AE166">
        <v>369</v>
      </c>
      <c r="AF166">
        <v>361</v>
      </c>
      <c r="AG166">
        <v>430</v>
      </c>
      <c r="AH166">
        <v>114</v>
      </c>
      <c r="AI166">
        <v>178</v>
      </c>
      <c r="AJ166">
        <v>349</v>
      </c>
      <c r="AK166">
        <v>437</v>
      </c>
      <c r="AL166">
        <v>923</v>
      </c>
      <c r="AM166">
        <v>473</v>
      </c>
      <c r="AN166">
        <v>805</v>
      </c>
      <c r="AO166">
        <v>738</v>
      </c>
      <c r="AP166">
        <v>805</v>
      </c>
      <c r="AQ166">
        <v>775</v>
      </c>
      <c r="AR166">
        <v>346</v>
      </c>
      <c r="AS166">
        <v>200</v>
      </c>
      <c r="AT166">
        <v>386</v>
      </c>
      <c r="AU166">
        <v>179</v>
      </c>
      <c r="AV166">
        <v>340</v>
      </c>
      <c r="AW166">
        <v>93</v>
      </c>
      <c r="AX166">
        <v>92</v>
      </c>
      <c r="AY166">
        <v>232</v>
      </c>
      <c r="AZ166">
        <v>100</v>
      </c>
      <c r="BA166">
        <v>420</v>
      </c>
      <c r="BB166">
        <v>648</v>
      </c>
      <c r="BC166">
        <v>258</v>
      </c>
      <c r="BD166">
        <v>264</v>
      </c>
      <c r="BE166">
        <v>147</v>
      </c>
      <c r="BF166">
        <v>43</v>
      </c>
      <c r="BG166">
        <v>435</v>
      </c>
      <c r="BH166">
        <v>125</v>
      </c>
      <c r="BI166">
        <v>86</v>
      </c>
      <c r="BJ166">
        <v>39</v>
      </c>
      <c r="BK166">
        <v>63</v>
      </c>
      <c r="BL166">
        <v>73</v>
      </c>
      <c r="BM166">
        <v>52</v>
      </c>
      <c r="BN166">
        <f t="shared" si="113"/>
        <v>11748</v>
      </c>
      <c r="BO166">
        <f t="shared" si="114"/>
        <v>889</v>
      </c>
      <c r="BP166">
        <f t="shared" si="115"/>
        <v>438</v>
      </c>
      <c r="BQ166">
        <f t="shared" si="116"/>
        <v>13075</v>
      </c>
      <c r="BU166" s="8"/>
      <c r="BZ166" s="8"/>
      <c r="CD166" s="8"/>
    </row>
    <row r="167" spans="4:82" ht="15.75">
      <c r="D167" t="s">
        <v>70</v>
      </c>
      <c r="Y167">
        <f t="shared" si="117"/>
        <v>0</v>
      </c>
      <c r="Z167">
        <f t="shared" si="118"/>
        <v>0</v>
      </c>
      <c r="AB167">
        <f>10757+18</f>
        <v>10775</v>
      </c>
      <c r="AD167">
        <v>2229</v>
      </c>
      <c r="AE167">
        <v>2064</v>
      </c>
      <c r="AF167">
        <v>1648</v>
      </c>
      <c r="AG167">
        <v>3137</v>
      </c>
      <c r="AH167">
        <v>551</v>
      </c>
      <c r="AI167">
        <v>3231</v>
      </c>
      <c r="AJ167">
        <v>1792</v>
      </c>
      <c r="AK167">
        <v>2186</v>
      </c>
      <c r="AL167">
        <v>3744</v>
      </c>
      <c r="AM167">
        <v>2284</v>
      </c>
      <c r="AN167">
        <v>2812</v>
      </c>
      <c r="AO167">
        <v>3014</v>
      </c>
      <c r="AP167">
        <v>2950</v>
      </c>
      <c r="AQ167">
        <v>2569</v>
      </c>
      <c r="AR167">
        <v>966</v>
      </c>
      <c r="AS167">
        <v>604</v>
      </c>
      <c r="AT167">
        <v>1252</v>
      </c>
      <c r="AU167">
        <v>613</v>
      </c>
      <c r="AV167">
        <v>992</v>
      </c>
      <c r="AW167">
        <v>388</v>
      </c>
      <c r="AX167">
        <v>574</v>
      </c>
      <c r="AY167">
        <v>1067</v>
      </c>
      <c r="AZ167">
        <v>272</v>
      </c>
      <c r="BA167">
        <v>1083</v>
      </c>
      <c r="BB167">
        <v>1188</v>
      </c>
      <c r="BC167">
        <v>774</v>
      </c>
      <c r="BD167">
        <v>921</v>
      </c>
      <c r="BE167">
        <v>327</v>
      </c>
      <c r="BF167">
        <v>236</v>
      </c>
      <c r="BG167">
        <v>1687</v>
      </c>
      <c r="BH167">
        <v>1044</v>
      </c>
      <c r="BI167">
        <v>574</v>
      </c>
      <c r="BJ167">
        <v>433</v>
      </c>
      <c r="BK167">
        <v>468</v>
      </c>
      <c r="BL167">
        <v>484</v>
      </c>
      <c r="BM167">
        <v>781</v>
      </c>
      <c r="BN167">
        <f t="shared" si="113"/>
        <v>54759</v>
      </c>
      <c r="BO167">
        <f t="shared" si="114"/>
        <v>3171</v>
      </c>
      <c r="BP167">
        <f t="shared" si="115"/>
        <v>3784</v>
      </c>
      <c r="BQ167">
        <f t="shared" si="116"/>
        <v>61714</v>
      </c>
      <c r="BU167" s="8"/>
      <c r="BZ167" s="8"/>
      <c r="CD167" s="8"/>
    </row>
    <row r="168" spans="2:82" ht="15.75">
      <c r="B168" t="s">
        <v>222</v>
      </c>
      <c r="C168" t="s">
        <v>223</v>
      </c>
      <c r="D168" t="s">
        <v>68</v>
      </c>
      <c r="Y168">
        <f t="shared" si="117"/>
        <v>0</v>
      </c>
      <c r="Z168">
        <f t="shared" si="118"/>
        <v>0</v>
      </c>
      <c r="AD168">
        <v>7</v>
      </c>
      <c r="AH168">
        <v>256</v>
      </c>
      <c r="AI168">
        <v>56</v>
      </c>
      <c r="AJ168">
        <v>490</v>
      </c>
      <c r="AK168">
        <v>171</v>
      </c>
      <c r="AT168">
        <v>53</v>
      </c>
      <c r="AV168">
        <v>28</v>
      </c>
      <c r="BN168">
        <f t="shared" si="113"/>
        <v>1061</v>
      </c>
      <c r="BO168">
        <f t="shared" si="114"/>
        <v>0</v>
      </c>
      <c r="BP168">
        <f t="shared" si="115"/>
        <v>0</v>
      </c>
      <c r="BQ168">
        <f t="shared" si="116"/>
        <v>1061</v>
      </c>
      <c r="BU168" s="8"/>
      <c r="BZ168" s="8"/>
      <c r="CD168" s="8"/>
    </row>
    <row r="169" spans="4:82" ht="15.75">
      <c r="D169" t="s">
        <v>70</v>
      </c>
      <c r="Y169">
        <f t="shared" si="117"/>
        <v>0</v>
      </c>
      <c r="Z169">
        <f t="shared" si="118"/>
        <v>0</v>
      </c>
      <c r="AD169">
        <v>51</v>
      </c>
      <c r="AH169">
        <v>926</v>
      </c>
      <c r="AI169">
        <v>902</v>
      </c>
      <c r="AJ169">
        <v>2010</v>
      </c>
      <c r="AK169">
        <v>372</v>
      </c>
      <c r="AT169">
        <v>100</v>
      </c>
      <c r="AV169">
        <v>71</v>
      </c>
      <c r="BN169">
        <f t="shared" si="113"/>
        <v>4432</v>
      </c>
      <c r="BO169">
        <f t="shared" si="114"/>
        <v>0</v>
      </c>
      <c r="BP169">
        <f t="shared" si="115"/>
        <v>0</v>
      </c>
      <c r="BQ169">
        <f t="shared" si="116"/>
        <v>4432</v>
      </c>
      <c r="BU169" s="8"/>
      <c r="BZ169" s="8"/>
      <c r="CD169" s="8"/>
    </row>
    <row r="170" spans="2:82" ht="15.75">
      <c r="B170" t="s">
        <v>224</v>
      </c>
      <c r="C170" t="s">
        <v>225</v>
      </c>
      <c r="D170" t="s">
        <v>68</v>
      </c>
      <c r="Y170">
        <f t="shared" si="117"/>
        <v>0</v>
      </c>
      <c r="Z170">
        <f t="shared" si="118"/>
        <v>0</v>
      </c>
      <c r="AB170">
        <v>76</v>
      </c>
      <c r="AD170">
        <v>2</v>
      </c>
      <c r="AE170">
        <v>13</v>
      </c>
      <c r="AF170">
        <v>1</v>
      </c>
      <c r="AG170">
        <v>3</v>
      </c>
      <c r="AH170">
        <v>63</v>
      </c>
      <c r="AI170">
        <v>19</v>
      </c>
      <c r="AJ170">
        <v>14</v>
      </c>
      <c r="AK170">
        <v>7</v>
      </c>
      <c r="AL170">
        <v>25</v>
      </c>
      <c r="AM170">
        <v>26</v>
      </c>
      <c r="AN170">
        <v>12</v>
      </c>
      <c r="AO170">
        <v>14</v>
      </c>
      <c r="AP170">
        <v>46</v>
      </c>
      <c r="AQ170">
        <v>16</v>
      </c>
      <c r="AR170">
        <v>13</v>
      </c>
      <c r="AS170">
        <v>9</v>
      </c>
      <c r="AT170">
        <v>7</v>
      </c>
      <c r="AU170">
        <v>8</v>
      </c>
      <c r="AV170">
        <v>5</v>
      </c>
      <c r="AW170">
        <v>1</v>
      </c>
      <c r="AX170">
        <v>9</v>
      </c>
      <c r="AY170">
        <v>5</v>
      </c>
      <c r="AZ170">
        <v>4</v>
      </c>
      <c r="BB170">
        <v>4</v>
      </c>
      <c r="BC170">
        <v>8</v>
      </c>
      <c r="BD170">
        <v>11</v>
      </c>
      <c r="BG170">
        <v>15</v>
      </c>
      <c r="BH170">
        <v>4</v>
      </c>
      <c r="BI170">
        <v>2</v>
      </c>
      <c r="BL170">
        <v>11</v>
      </c>
      <c r="BN170">
        <f t="shared" si="113"/>
        <v>410</v>
      </c>
      <c r="BO170">
        <f t="shared" si="114"/>
        <v>26</v>
      </c>
      <c r="BP170">
        <f t="shared" si="115"/>
        <v>17</v>
      </c>
      <c r="BQ170">
        <f t="shared" si="116"/>
        <v>453</v>
      </c>
      <c r="BU170" s="8"/>
      <c r="BZ170" s="8"/>
      <c r="CD170" s="8"/>
    </row>
    <row r="171" spans="4:82" ht="15.75">
      <c r="D171" t="s">
        <v>70</v>
      </c>
      <c r="Y171">
        <f t="shared" si="117"/>
        <v>0</v>
      </c>
      <c r="Z171">
        <f t="shared" si="118"/>
        <v>0</v>
      </c>
      <c r="AB171">
        <v>896</v>
      </c>
      <c r="AD171">
        <v>4</v>
      </c>
      <c r="AE171">
        <v>132</v>
      </c>
      <c r="AF171">
        <v>11</v>
      </c>
      <c r="AG171">
        <v>20</v>
      </c>
      <c r="AH171">
        <v>205</v>
      </c>
      <c r="AI171">
        <v>502</v>
      </c>
      <c r="AJ171">
        <v>58</v>
      </c>
      <c r="AK171">
        <v>146</v>
      </c>
      <c r="AL171">
        <v>216</v>
      </c>
      <c r="AM171">
        <v>226</v>
      </c>
      <c r="AN171">
        <v>120</v>
      </c>
      <c r="AO171">
        <v>140</v>
      </c>
      <c r="AP171">
        <v>258</v>
      </c>
      <c r="AQ171">
        <v>77</v>
      </c>
      <c r="AR171">
        <v>27</v>
      </c>
      <c r="AS171">
        <v>34</v>
      </c>
      <c r="AT171">
        <v>45</v>
      </c>
      <c r="AU171">
        <v>21</v>
      </c>
      <c r="AV171">
        <v>19</v>
      </c>
      <c r="AW171">
        <v>7</v>
      </c>
      <c r="AX171">
        <v>45</v>
      </c>
      <c r="AY171">
        <v>36</v>
      </c>
      <c r="AZ171">
        <v>12</v>
      </c>
      <c r="BB171">
        <v>7</v>
      </c>
      <c r="BC171">
        <v>86</v>
      </c>
      <c r="BD171">
        <v>65</v>
      </c>
      <c r="BG171">
        <v>100</v>
      </c>
      <c r="BH171">
        <v>20</v>
      </c>
      <c r="BI171">
        <v>7</v>
      </c>
      <c r="BL171">
        <v>44</v>
      </c>
      <c r="BN171">
        <f t="shared" si="113"/>
        <v>3350</v>
      </c>
      <c r="BO171">
        <f t="shared" si="114"/>
        <v>165</v>
      </c>
      <c r="BP171">
        <f t="shared" si="115"/>
        <v>71</v>
      </c>
      <c r="BQ171">
        <f t="shared" si="116"/>
        <v>3586</v>
      </c>
      <c r="BU171" s="8"/>
      <c r="BZ171" s="8"/>
      <c r="CD171" s="8"/>
    </row>
    <row r="172" spans="2:82" ht="15.75">
      <c r="B172" t="s">
        <v>226</v>
      </c>
      <c r="D172" t="s">
        <v>68</v>
      </c>
      <c r="AB172">
        <v>35</v>
      </c>
      <c r="AD172">
        <v>2</v>
      </c>
      <c r="AE172">
        <v>13</v>
      </c>
      <c r="AG172">
        <v>7</v>
      </c>
      <c r="AH172">
        <v>1</v>
      </c>
      <c r="AJ172">
        <v>30</v>
      </c>
      <c r="AK172">
        <v>3</v>
      </c>
      <c r="AL172">
        <v>8</v>
      </c>
      <c r="AM172">
        <v>4</v>
      </c>
      <c r="AN172">
        <v>2</v>
      </c>
      <c r="AO172">
        <v>16</v>
      </c>
      <c r="AP172">
        <v>19</v>
      </c>
      <c r="AQ172">
        <v>26</v>
      </c>
      <c r="AR172">
        <v>6</v>
      </c>
      <c r="AS172">
        <v>14</v>
      </c>
      <c r="AT172">
        <v>5</v>
      </c>
      <c r="AU172">
        <v>3</v>
      </c>
      <c r="AV172">
        <v>11</v>
      </c>
      <c r="AX172">
        <v>4</v>
      </c>
      <c r="AY172">
        <v>1</v>
      </c>
      <c r="BB172">
        <v>6</v>
      </c>
      <c r="BC172">
        <v>5</v>
      </c>
      <c r="BH172">
        <v>4</v>
      </c>
      <c r="BI172">
        <v>5</v>
      </c>
      <c r="BL172">
        <v>8</v>
      </c>
      <c r="BM172">
        <v>2</v>
      </c>
      <c r="BN172">
        <f t="shared" si="113"/>
        <v>221</v>
      </c>
      <c r="BO172">
        <f t="shared" si="114"/>
        <v>0</v>
      </c>
      <c r="BP172">
        <f t="shared" si="115"/>
        <v>19</v>
      </c>
      <c r="BQ172">
        <f t="shared" si="116"/>
        <v>240</v>
      </c>
      <c r="BU172" s="8"/>
      <c r="BZ172" s="8"/>
      <c r="CD172" s="8"/>
    </row>
    <row r="173" spans="4:82" ht="15.75">
      <c r="D173" t="s">
        <v>70</v>
      </c>
      <c r="AB173">
        <v>305</v>
      </c>
      <c r="AD173">
        <v>12</v>
      </c>
      <c r="AE173">
        <v>77</v>
      </c>
      <c r="AG173">
        <v>20</v>
      </c>
      <c r="AH173">
        <v>11</v>
      </c>
      <c r="AJ173">
        <v>92</v>
      </c>
      <c r="AK173">
        <v>27</v>
      </c>
      <c r="AL173">
        <v>57</v>
      </c>
      <c r="AM173">
        <v>31</v>
      </c>
      <c r="AN173">
        <v>5</v>
      </c>
      <c r="AO173">
        <v>103</v>
      </c>
      <c r="AP173">
        <v>82</v>
      </c>
      <c r="AQ173">
        <v>111</v>
      </c>
      <c r="AR173">
        <v>23</v>
      </c>
      <c r="AS173">
        <v>43</v>
      </c>
      <c r="AT173">
        <v>17</v>
      </c>
      <c r="AU173">
        <v>9</v>
      </c>
      <c r="AV173">
        <v>22</v>
      </c>
      <c r="AX173">
        <v>15</v>
      </c>
      <c r="AY173">
        <v>2</v>
      </c>
      <c r="BB173">
        <v>24</v>
      </c>
      <c r="BC173">
        <v>21</v>
      </c>
      <c r="BH173">
        <v>37</v>
      </c>
      <c r="BI173">
        <v>23</v>
      </c>
      <c r="BL173">
        <v>55</v>
      </c>
      <c r="BM173">
        <v>16</v>
      </c>
      <c r="BN173">
        <f t="shared" si="113"/>
        <v>1109</v>
      </c>
      <c r="BO173">
        <f t="shared" si="114"/>
        <v>0</v>
      </c>
      <c r="BP173">
        <f t="shared" si="115"/>
        <v>131</v>
      </c>
      <c r="BQ173">
        <f t="shared" si="116"/>
        <v>1240</v>
      </c>
      <c r="BU173" s="8"/>
      <c r="BZ173" s="8"/>
      <c r="CD173" s="8"/>
    </row>
    <row r="174" spans="1:82" ht="15.75">
      <c r="A174" s="15" t="s">
        <v>227</v>
      </c>
      <c r="C174" t="s">
        <v>134</v>
      </c>
      <c r="D174" t="s">
        <v>68</v>
      </c>
      <c r="E174">
        <v>65226</v>
      </c>
      <c r="G174">
        <v>9682</v>
      </c>
      <c r="H174">
        <v>3047</v>
      </c>
      <c r="I174">
        <v>512</v>
      </c>
      <c r="J174">
        <v>2813</v>
      </c>
      <c r="K174">
        <v>955</v>
      </c>
      <c r="L174">
        <v>395</v>
      </c>
      <c r="M174">
        <v>293</v>
      </c>
      <c r="N174">
        <v>1245</v>
      </c>
      <c r="O174">
        <v>16473</v>
      </c>
      <c r="P174">
        <v>6715</v>
      </c>
      <c r="Q174">
        <v>1090</v>
      </c>
      <c r="R174">
        <v>2463</v>
      </c>
      <c r="S174">
        <v>324</v>
      </c>
      <c r="T174">
        <v>94</v>
      </c>
      <c r="U174">
        <v>15204</v>
      </c>
      <c r="V174">
        <v>989</v>
      </c>
      <c r="W174">
        <v>490</v>
      </c>
      <c r="X174">
        <v>2442</v>
      </c>
      <c r="Y174">
        <f>SUM(G174:X174)</f>
        <v>65226</v>
      </c>
      <c r="Z174">
        <f>SUM(G174:T174)</f>
        <v>46101</v>
      </c>
      <c r="AB174">
        <f>AB160+AB162+AB164+AB166+AB168+AB170+AB172</f>
        <v>1612</v>
      </c>
      <c r="AD174">
        <f aca="true" t="shared" si="119" ref="AD174:BM174">AD160+AD162+AD164+AD166+AD168+AD170+AD172</f>
        <v>630</v>
      </c>
      <c r="AE174">
        <f t="shared" si="119"/>
        <v>409</v>
      </c>
      <c r="AF174">
        <f t="shared" si="119"/>
        <v>373</v>
      </c>
      <c r="AG174">
        <f t="shared" si="119"/>
        <v>444</v>
      </c>
      <c r="AH174">
        <f t="shared" si="119"/>
        <v>582</v>
      </c>
      <c r="AI174">
        <f t="shared" si="119"/>
        <v>261</v>
      </c>
      <c r="AJ174">
        <f t="shared" si="119"/>
        <v>888</v>
      </c>
      <c r="AK174">
        <f t="shared" si="119"/>
        <v>624</v>
      </c>
      <c r="AL174">
        <f t="shared" si="119"/>
        <v>1054</v>
      </c>
      <c r="AM174">
        <f t="shared" si="119"/>
        <v>532</v>
      </c>
      <c r="AN174">
        <f t="shared" si="119"/>
        <v>840</v>
      </c>
      <c r="AO174">
        <f t="shared" si="119"/>
        <v>951</v>
      </c>
      <c r="AP174">
        <f t="shared" si="119"/>
        <v>1230</v>
      </c>
      <c r="AQ174">
        <f t="shared" si="119"/>
        <v>1024</v>
      </c>
      <c r="AR174">
        <f t="shared" si="119"/>
        <v>383</v>
      </c>
      <c r="AS174">
        <f t="shared" si="119"/>
        <v>249</v>
      </c>
      <c r="AT174">
        <f t="shared" si="119"/>
        <v>501</v>
      </c>
      <c r="AU174">
        <f t="shared" si="119"/>
        <v>201</v>
      </c>
      <c r="AV174">
        <f t="shared" si="119"/>
        <v>385</v>
      </c>
      <c r="AW174">
        <f t="shared" si="119"/>
        <v>94</v>
      </c>
      <c r="AX174">
        <f t="shared" si="119"/>
        <v>113</v>
      </c>
      <c r="AY174">
        <f t="shared" si="119"/>
        <v>279</v>
      </c>
      <c r="AZ174">
        <f t="shared" si="119"/>
        <v>110</v>
      </c>
      <c r="BA174">
        <f t="shared" si="119"/>
        <v>434</v>
      </c>
      <c r="BB174">
        <f t="shared" si="119"/>
        <v>706</v>
      </c>
      <c r="BC174">
        <f t="shared" si="119"/>
        <v>295</v>
      </c>
      <c r="BD174">
        <f t="shared" si="119"/>
        <v>307</v>
      </c>
      <c r="BE174">
        <f t="shared" si="119"/>
        <v>148</v>
      </c>
      <c r="BF174">
        <f t="shared" si="119"/>
        <v>43</v>
      </c>
      <c r="BG174">
        <f t="shared" si="119"/>
        <v>506</v>
      </c>
      <c r="BH174">
        <f t="shared" si="119"/>
        <v>136</v>
      </c>
      <c r="BI174">
        <f t="shared" si="119"/>
        <v>99</v>
      </c>
      <c r="BJ174">
        <f t="shared" si="119"/>
        <v>40</v>
      </c>
      <c r="BK174">
        <f t="shared" si="119"/>
        <v>63</v>
      </c>
      <c r="BL174">
        <f t="shared" si="119"/>
        <v>92</v>
      </c>
      <c r="BM174">
        <f t="shared" si="119"/>
        <v>60</v>
      </c>
      <c r="BN174">
        <f t="shared" si="113"/>
        <v>15204</v>
      </c>
      <c r="BO174" s="13">
        <f t="shared" si="114"/>
        <v>1004</v>
      </c>
      <c r="BP174">
        <f t="shared" si="115"/>
        <v>490</v>
      </c>
      <c r="BQ174">
        <f t="shared" si="116"/>
        <v>16698</v>
      </c>
      <c r="BU174" s="8"/>
      <c r="BZ174" s="8"/>
      <c r="CD174" s="8"/>
    </row>
    <row r="175" spans="4:82" ht="15.75">
      <c r="D175" t="s">
        <v>70</v>
      </c>
      <c r="E175">
        <v>361578</v>
      </c>
      <c r="G175">
        <v>114827</v>
      </c>
      <c r="H175">
        <v>13595</v>
      </c>
      <c r="I175">
        <v>2458</v>
      </c>
      <c r="J175">
        <v>15715</v>
      </c>
      <c r="K175">
        <v>3715</v>
      </c>
      <c r="L175">
        <v>2064</v>
      </c>
      <c r="M175">
        <v>4057</v>
      </c>
      <c r="N175">
        <v>3440</v>
      </c>
      <c r="O175">
        <v>67654</v>
      </c>
      <c r="P175">
        <v>29405</v>
      </c>
      <c r="Q175">
        <v>4138</v>
      </c>
      <c r="R175">
        <v>13293</v>
      </c>
      <c r="S175">
        <v>1752</v>
      </c>
      <c r="T175">
        <v>467</v>
      </c>
      <c r="U175">
        <v>68425</v>
      </c>
      <c r="V175">
        <v>3615</v>
      </c>
      <c r="W175">
        <v>4048</v>
      </c>
      <c r="X175">
        <v>8910</v>
      </c>
      <c r="Y175">
        <f>SUM(G175:X175)</f>
        <v>361578</v>
      </c>
      <c r="Z175">
        <f>SUM(G175:T175)</f>
        <v>276580</v>
      </c>
      <c r="AB175">
        <f>AB161+AB163+AB165+AB167+AB169+AB171+AB173</f>
        <v>13361</v>
      </c>
      <c r="AD175">
        <f aca="true" t="shared" si="120" ref="AD175:BM175">AD161+AD163+AD165+AD167+AD169+AD171+AD173</f>
        <v>2316</v>
      </c>
      <c r="AE175">
        <f t="shared" si="120"/>
        <v>2458</v>
      </c>
      <c r="AF175">
        <f t="shared" si="120"/>
        <v>1706</v>
      </c>
      <c r="AG175">
        <f t="shared" si="120"/>
        <v>3198</v>
      </c>
      <c r="AH175">
        <f t="shared" si="120"/>
        <v>1991</v>
      </c>
      <c r="AI175">
        <f t="shared" si="120"/>
        <v>4764</v>
      </c>
      <c r="AJ175">
        <f t="shared" si="120"/>
        <v>3990</v>
      </c>
      <c r="AK175">
        <f t="shared" si="120"/>
        <v>2745</v>
      </c>
      <c r="AL175">
        <f t="shared" si="120"/>
        <v>4295</v>
      </c>
      <c r="AM175">
        <f t="shared" si="120"/>
        <v>2798</v>
      </c>
      <c r="AN175">
        <f t="shared" si="120"/>
        <v>3002</v>
      </c>
      <c r="AO175">
        <f t="shared" si="120"/>
        <v>3766</v>
      </c>
      <c r="AP175">
        <f t="shared" si="120"/>
        <v>3671</v>
      </c>
      <c r="AQ175">
        <f t="shared" si="120"/>
        <v>3156</v>
      </c>
      <c r="AR175">
        <f t="shared" si="120"/>
        <v>1034</v>
      </c>
      <c r="AS175">
        <f t="shared" si="120"/>
        <v>738</v>
      </c>
      <c r="AT175">
        <f t="shared" si="120"/>
        <v>1466</v>
      </c>
      <c r="AU175">
        <f t="shared" si="120"/>
        <v>667</v>
      </c>
      <c r="AV175">
        <f t="shared" si="120"/>
        <v>1105</v>
      </c>
      <c r="AW175">
        <f t="shared" si="120"/>
        <v>395</v>
      </c>
      <c r="AX175">
        <f t="shared" si="120"/>
        <v>645</v>
      </c>
      <c r="AY175">
        <f t="shared" si="120"/>
        <v>1489</v>
      </c>
      <c r="AZ175">
        <f t="shared" si="120"/>
        <v>291</v>
      </c>
      <c r="BA175">
        <f t="shared" si="120"/>
        <v>1123</v>
      </c>
      <c r="BB175">
        <f t="shared" si="120"/>
        <v>1322</v>
      </c>
      <c r="BC175">
        <f t="shared" si="120"/>
        <v>935</v>
      </c>
      <c r="BD175">
        <f t="shared" si="120"/>
        <v>1050</v>
      </c>
      <c r="BE175">
        <f t="shared" si="120"/>
        <v>328</v>
      </c>
      <c r="BF175">
        <f t="shared" si="120"/>
        <v>236</v>
      </c>
      <c r="BG175">
        <f t="shared" si="120"/>
        <v>2001</v>
      </c>
      <c r="BH175">
        <f t="shared" si="120"/>
        <v>1118</v>
      </c>
      <c r="BI175">
        <f t="shared" si="120"/>
        <v>617</v>
      </c>
      <c r="BJ175">
        <f t="shared" si="120"/>
        <v>447</v>
      </c>
      <c r="BK175">
        <f t="shared" si="120"/>
        <v>468</v>
      </c>
      <c r="BL175">
        <f t="shared" si="120"/>
        <v>583</v>
      </c>
      <c r="BM175">
        <f t="shared" si="120"/>
        <v>815</v>
      </c>
      <c r="BN175" s="13">
        <f t="shared" si="113"/>
        <v>68427</v>
      </c>
      <c r="BO175">
        <f t="shared" si="114"/>
        <v>3615</v>
      </c>
      <c r="BP175">
        <f t="shared" si="115"/>
        <v>4048</v>
      </c>
      <c r="BQ175">
        <f t="shared" si="116"/>
        <v>76090</v>
      </c>
      <c r="BU175" s="8"/>
      <c r="BZ175" s="8"/>
      <c r="CD175" s="8"/>
    </row>
    <row r="176" spans="1:256" ht="15.75">
      <c r="A176" s="14"/>
      <c r="B176" s="3" t="s">
        <v>228</v>
      </c>
      <c r="C176" s="3"/>
      <c r="D176" s="3" t="s">
        <v>68</v>
      </c>
      <c r="E176" s="3">
        <f>E121+E128+E137+E146+E157+E174</f>
        <v>114967</v>
      </c>
      <c r="F176" s="3"/>
      <c r="G176" s="3">
        <f aca="true" t="shared" si="121" ref="G176:Z176">G121+G128+G137+G146+G157+G174</f>
        <v>14656</v>
      </c>
      <c r="H176" s="3">
        <f t="shared" si="121"/>
        <v>5890</v>
      </c>
      <c r="I176" s="3">
        <f t="shared" si="121"/>
        <v>1018</v>
      </c>
      <c r="J176" s="3">
        <f t="shared" si="121"/>
        <v>4459</v>
      </c>
      <c r="K176" s="3">
        <f t="shared" si="121"/>
        <v>1680</v>
      </c>
      <c r="L176" s="3">
        <f t="shared" si="121"/>
        <v>575</v>
      </c>
      <c r="M176" s="3">
        <f t="shared" si="121"/>
        <v>488</v>
      </c>
      <c r="N176" s="3">
        <f t="shared" si="121"/>
        <v>3065</v>
      </c>
      <c r="O176" s="3">
        <f t="shared" si="121"/>
        <v>26951</v>
      </c>
      <c r="P176" s="3">
        <f t="shared" si="121"/>
        <v>15949</v>
      </c>
      <c r="Q176" s="3">
        <f t="shared" si="121"/>
        <v>3277</v>
      </c>
      <c r="R176" s="3">
        <f t="shared" si="121"/>
        <v>3982</v>
      </c>
      <c r="S176" s="3">
        <f t="shared" si="121"/>
        <v>428</v>
      </c>
      <c r="T176" s="3">
        <f t="shared" si="121"/>
        <v>140</v>
      </c>
      <c r="U176" s="3">
        <f t="shared" si="121"/>
        <v>24727</v>
      </c>
      <c r="V176" s="3">
        <f t="shared" si="121"/>
        <v>1438</v>
      </c>
      <c r="W176" s="3">
        <f t="shared" si="121"/>
        <v>1300</v>
      </c>
      <c r="X176" s="3">
        <f t="shared" si="121"/>
        <v>4944</v>
      </c>
      <c r="Y176" s="3">
        <f t="shared" si="121"/>
        <v>114967</v>
      </c>
      <c r="Z176" s="3">
        <f t="shared" si="121"/>
        <v>82558</v>
      </c>
      <c r="AA176" s="3"/>
      <c r="AB176" s="3">
        <f>AB121+AB128+AB137+AB146+AB157+AB174</f>
        <v>1898</v>
      </c>
      <c r="AC176" s="3"/>
      <c r="AD176" s="3">
        <f aca="true" t="shared" si="122" ref="AD176:BQ176">AD121+AD128+AD137+AD146+AD157+AD174</f>
        <v>1313</v>
      </c>
      <c r="AE176" s="3">
        <f t="shared" si="122"/>
        <v>683</v>
      </c>
      <c r="AF176" s="3">
        <f t="shared" si="122"/>
        <v>484</v>
      </c>
      <c r="AG176" s="3">
        <f t="shared" si="122"/>
        <v>1004</v>
      </c>
      <c r="AH176" s="3">
        <f t="shared" si="122"/>
        <v>619</v>
      </c>
      <c r="AI176" s="3">
        <f t="shared" si="122"/>
        <v>363</v>
      </c>
      <c r="AJ176" s="3">
        <f t="shared" si="122"/>
        <v>1163</v>
      </c>
      <c r="AK176" s="3">
        <f t="shared" si="122"/>
        <v>880</v>
      </c>
      <c r="AL176" s="3">
        <f t="shared" si="122"/>
        <v>1812</v>
      </c>
      <c r="AM176" s="3">
        <f t="shared" si="122"/>
        <v>1686</v>
      </c>
      <c r="AN176" s="3">
        <f t="shared" si="122"/>
        <v>1422</v>
      </c>
      <c r="AO176" s="3">
        <f t="shared" si="122"/>
        <v>1904</v>
      </c>
      <c r="AP176" s="3">
        <f t="shared" si="122"/>
        <v>1853</v>
      </c>
      <c r="AQ176" s="3">
        <f t="shared" si="122"/>
        <v>1402</v>
      </c>
      <c r="AR176" s="3">
        <f t="shared" si="122"/>
        <v>649</v>
      </c>
      <c r="AS176" s="3">
        <f t="shared" si="122"/>
        <v>438</v>
      </c>
      <c r="AT176" s="3">
        <f t="shared" si="122"/>
        <v>650</v>
      </c>
      <c r="AU176" s="3">
        <f t="shared" si="122"/>
        <v>318</v>
      </c>
      <c r="AV176" s="3">
        <f t="shared" si="122"/>
        <v>452</v>
      </c>
      <c r="AW176" s="3">
        <f t="shared" si="122"/>
        <v>100</v>
      </c>
      <c r="AX176" s="3">
        <f t="shared" si="122"/>
        <v>159</v>
      </c>
      <c r="AY176" s="3">
        <f t="shared" si="122"/>
        <v>467</v>
      </c>
      <c r="AZ176" s="3">
        <f t="shared" si="122"/>
        <v>146</v>
      </c>
      <c r="BA176" s="3">
        <f t="shared" si="122"/>
        <v>663</v>
      </c>
      <c r="BB176" s="3">
        <f t="shared" si="122"/>
        <v>1653</v>
      </c>
      <c r="BC176" s="3">
        <f t="shared" si="122"/>
        <v>546</v>
      </c>
      <c r="BD176" s="3">
        <f t="shared" si="122"/>
        <v>399</v>
      </c>
      <c r="BE176" s="3">
        <f t="shared" si="122"/>
        <v>236</v>
      </c>
      <c r="BF176" s="3">
        <f t="shared" si="122"/>
        <v>75</v>
      </c>
      <c r="BG176" s="3">
        <f t="shared" si="122"/>
        <v>743</v>
      </c>
      <c r="BH176" s="3">
        <f t="shared" si="122"/>
        <v>621</v>
      </c>
      <c r="BI176" s="3">
        <f t="shared" si="122"/>
        <v>289</v>
      </c>
      <c r="BJ176" s="3">
        <f t="shared" si="122"/>
        <v>55</v>
      </c>
      <c r="BK176" s="3">
        <f t="shared" si="122"/>
        <v>92</v>
      </c>
      <c r="BL176" s="3">
        <f t="shared" si="122"/>
        <v>127</v>
      </c>
      <c r="BM176" s="3">
        <f t="shared" si="122"/>
        <v>116</v>
      </c>
      <c r="BN176" s="3">
        <f t="shared" si="122"/>
        <v>24727</v>
      </c>
      <c r="BO176" s="3">
        <f t="shared" si="122"/>
        <v>1453</v>
      </c>
      <c r="BP176" s="3">
        <f t="shared" si="122"/>
        <v>1300</v>
      </c>
      <c r="BQ176" s="3">
        <f t="shared" si="122"/>
        <v>27480</v>
      </c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5.75">
      <c r="A177" s="14"/>
      <c r="B177" s="3"/>
      <c r="C177" s="3"/>
      <c r="D177" s="3" t="s">
        <v>70</v>
      </c>
      <c r="E177" s="3">
        <f>E122+E129+E138+E147+E158+E175</f>
        <v>1161824</v>
      </c>
      <c r="F177" s="3"/>
      <c r="G177" s="3">
        <f aca="true" t="shared" si="123" ref="G177:Z177">G122+G129+G138+G147+G158+G175</f>
        <v>322799</v>
      </c>
      <c r="H177" s="3">
        <f t="shared" si="123"/>
        <v>39228</v>
      </c>
      <c r="I177" s="3">
        <f t="shared" si="123"/>
        <v>4853</v>
      </c>
      <c r="J177" s="3">
        <f t="shared" si="123"/>
        <v>26103</v>
      </c>
      <c r="K177" s="3">
        <f t="shared" si="123"/>
        <v>8052</v>
      </c>
      <c r="L177" s="3">
        <f t="shared" si="123"/>
        <v>4550</v>
      </c>
      <c r="M177" s="3">
        <f t="shared" si="123"/>
        <v>13469</v>
      </c>
      <c r="N177" s="3">
        <f t="shared" si="123"/>
        <v>41074</v>
      </c>
      <c r="O177" s="3">
        <f t="shared" si="123"/>
        <v>322760</v>
      </c>
      <c r="P177" s="3">
        <f t="shared" si="123"/>
        <v>153631</v>
      </c>
      <c r="Q177" s="3">
        <f t="shared" si="123"/>
        <v>40477</v>
      </c>
      <c r="R177" s="3">
        <f t="shared" si="123"/>
        <v>23012</v>
      </c>
      <c r="S177" s="3">
        <f t="shared" si="123"/>
        <v>2196</v>
      </c>
      <c r="T177" s="3">
        <f t="shared" si="123"/>
        <v>1083</v>
      </c>
      <c r="U177" s="3">
        <f t="shared" si="123"/>
        <v>104011</v>
      </c>
      <c r="V177" s="3">
        <f t="shared" si="123"/>
        <v>4955</v>
      </c>
      <c r="W177" s="3">
        <f t="shared" si="123"/>
        <v>11121</v>
      </c>
      <c r="X177" s="3">
        <f t="shared" si="123"/>
        <v>38458</v>
      </c>
      <c r="Y177" s="3">
        <f t="shared" si="123"/>
        <v>1161832</v>
      </c>
      <c r="Z177" s="3">
        <f t="shared" si="123"/>
        <v>1003287</v>
      </c>
      <c r="AA177" s="3"/>
      <c r="AB177" s="3">
        <f>AB122+AB129+AB138+AB147+AB158+AB175</f>
        <v>17007</v>
      </c>
      <c r="AC177" s="3"/>
      <c r="AD177" s="3">
        <f aca="true" t="shared" si="124" ref="AD177:BQ177">AD122+AD129+AD138+AD147+AD158+AD175</f>
        <v>3950</v>
      </c>
      <c r="AE177" s="3">
        <f t="shared" si="124"/>
        <v>3445</v>
      </c>
      <c r="AF177" s="3">
        <f t="shared" si="124"/>
        <v>2312</v>
      </c>
      <c r="AG177" s="3">
        <f t="shared" si="124"/>
        <v>6863</v>
      </c>
      <c r="AH177" s="3">
        <f t="shared" si="124"/>
        <v>2282</v>
      </c>
      <c r="AI177" s="3">
        <f t="shared" si="124"/>
        <v>6398</v>
      </c>
      <c r="AJ177" s="3">
        <f t="shared" si="124"/>
        <v>5004</v>
      </c>
      <c r="AK177" s="3">
        <f t="shared" si="124"/>
        <v>3819</v>
      </c>
      <c r="AL177" s="3">
        <f t="shared" si="124"/>
        <v>6987</v>
      </c>
      <c r="AM177" s="3">
        <f t="shared" si="124"/>
        <v>8082</v>
      </c>
      <c r="AN177" s="3">
        <f t="shared" si="124"/>
        <v>4512</v>
      </c>
      <c r="AO177" s="3">
        <f t="shared" si="124"/>
        <v>6369</v>
      </c>
      <c r="AP177" s="3">
        <f t="shared" si="124"/>
        <v>5200</v>
      </c>
      <c r="AQ177" s="3">
        <f t="shared" si="124"/>
        <v>4270</v>
      </c>
      <c r="AR177" s="3">
        <f t="shared" si="124"/>
        <v>1711</v>
      </c>
      <c r="AS177" s="3">
        <f t="shared" si="124"/>
        <v>1360</v>
      </c>
      <c r="AT177" s="3">
        <f t="shared" si="124"/>
        <v>2056</v>
      </c>
      <c r="AU177" s="3">
        <f t="shared" si="124"/>
        <v>1065</v>
      </c>
      <c r="AV177" s="3">
        <f t="shared" si="124"/>
        <v>1309</v>
      </c>
      <c r="AW177" s="3">
        <f t="shared" si="124"/>
        <v>418</v>
      </c>
      <c r="AX177" s="3">
        <f t="shared" si="124"/>
        <v>929</v>
      </c>
      <c r="AY177" s="3">
        <f t="shared" si="124"/>
        <v>2242</v>
      </c>
      <c r="AZ177" s="3">
        <f t="shared" si="124"/>
        <v>433</v>
      </c>
      <c r="BA177" s="3">
        <f t="shared" si="124"/>
        <v>1658</v>
      </c>
      <c r="BB177" s="3">
        <f t="shared" si="124"/>
        <v>2805</v>
      </c>
      <c r="BC177" s="3">
        <f t="shared" si="124"/>
        <v>1529</v>
      </c>
      <c r="BD177" s="3">
        <f t="shared" si="124"/>
        <v>1289</v>
      </c>
      <c r="BE177" s="3">
        <f t="shared" si="124"/>
        <v>423</v>
      </c>
      <c r="BF177" s="3">
        <f t="shared" si="124"/>
        <v>482</v>
      </c>
      <c r="BG177" s="3">
        <f t="shared" si="124"/>
        <v>2761</v>
      </c>
      <c r="BH177" s="3">
        <f t="shared" si="124"/>
        <v>5146</v>
      </c>
      <c r="BI177" s="3">
        <f t="shared" si="124"/>
        <v>2552</v>
      </c>
      <c r="BJ177" s="3">
        <f t="shared" si="124"/>
        <v>560</v>
      </c>
      <c r="BK177" s="3">
        <f t="shared" si="124"/>
        <v>702</v>
      </c>
      <c r="BL177" s="3">
        <f t="shared" si="124"/>
        <v>814</v>
      </c>
      <c r="BM177" s="3">
        <f t="shared" si="124"/>
        <v>1347</v>
      </c>
      <c r="BN177" s="3">
        <f t="shared" si="124"/>
        <v>104015</v>
      </c>
      <c r="BO177" s="3">
        <f t="shared" si="124"/>
        <v>4955</v>
      </c>
      <c r="BP177" s="3">
        <f t="shared" si="124"/>
        <v>11121</v>
      </c>
      <c r="BQ177" s="3">
        <f t="shared" si="124"/>
        <v>120091</v>
      </c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5.75">
      <c r="A178" s="14"/>
      <c r="B178" s="3"/>
      <c r="C178" s="3"/>
      <c r="D178" s="3"/>
      <c r="E178" s="6">
        <f>E177/E176</f>
        <v>10.105717292788365</v>
      </c>
      <c r="F178" s="6"/>
      <c r="G178" s="6">
        <f aca="true" t="shared" si="125" ref="G178:Z178">G177/G176</f>
        <v>22.025040938864628</v>
      </c>
      <c r="H178" s="6">
        <f t="shared" si="125"/>
        <v>6.660101867572156</v>
      </c>
      <c r="I178" s="6">
        <f t="shared" si="125"/>
        <v>4.7671905697445975</v>
      </c>
      <c r="J178" s="6">
        <f t="shared" si="125"/>
        <v>5.854003139717426</v>
      </c>
      <c r="K178" s="6">
        <f t="shared" si="125"/>
        <v>4.792857142857143</v>
      </c>
      <c r="L178" s="6">
        <f t="shared" si="125"/>
        <v>7.913043478260869</v>
      </c>
      <c r="M178" s="6">
        <f t="shared" si="125"/>
        <v>27.600409836065573</v>
      </c>
      <c r="N178" s="6">
        <f t="shared" si="125"/>
        <v>13.400978792822187</v>
      </c>
      <c r="O178" s="6">
        <f t="shared" si="125"/>
        <v>11.97580794775704</v>
      </c>
      <c r="P178" s="6">
        <f t="shared" si="125"/>
        <v>9.632641544924446</v>
      </c>
      <c r="Q178" s="6">
        <f t="shared" si="125"/>
        <v>12.351846200793409</v>
      </c>
      <c r="R178" s="6">
        <f t="shared" si="125"/>
        <v>5.779005524861878</v>
      </c>
      <c r="S178" s="6">
        <f t="shared" si="125"/>
        <v>5.130841121495327</v>
      </c>
      <c r="T178" s="6">
        <f t="shared" si="125"/>
        <v>7.735714285714286</v>
      </c>
      <c r="U178" s="6">
        <f t="shared" si="125"/>
        <v>4.2063735997088205</v>
      </c>
      <c r="V178" s="6">
        <f t="shared" si="125"/>
        <v>3.445757997218359</v>
      </c>
      <c r="W178" s="6">
        <f t="shared" si="125"/>
        <v>8.554615384615385</v>
      </c>
      <c r="X178" s="6">
        <f t="shared" si="125"/>
        <v>7.7787216828478964</v>
      </c>
      <c r="Y178" s="6">
        <f t="shared" si="125"/>
        <v>10.10578687797368</v>
      </c>
      <c r="Z178" s="6">
        <f t="shared" si="125"/>
        <v>12.152510961990359</v>
      </c>
      <c r="AA178" s="6"/>
      <c r="AB178" s="6">
        <f>AB177/AB176</f>
        <v>8.960484720758693</v>
      </c>
      <c r="AC178" s="6"/>
      <c r="AD178" s="6">
        <f aca="true" t="shared" si="126" ref="AD178:BQ178">AD177/AD176</f>
        <v>3.0083777608530085</v>
      </c>
      <c r="AE178" s="6">
        <f t="shared" si="126"/>
        <v>5.043923865300147</v>
      </c>
      <c r="AF178" s="6">
        <f t="shared" si="126"/>
        <v>4.776859504132231</v>
      </c>
      <c r="AG178" s="6">
        <f t="shared" si="126"/>
        <v>6.835657370517929</v>
      </c>
      <c r="AH178" s="6">
        <f t="shared" si="126"/>
        <v>3.6865912762520194</v>
      </c>
      <c r="AI178" s="6">
        <f t="shared" si="126"/>
        <v>17.62534435261708</v>
      </c>
      <c r="AJ178" s="6">
        <f t="shared" si="126"/>
        <v>4.302665520206363</v>
      </c>
      <c r="AK178" s="6">
        <f t="shared" si="126"/>
        <v>4.339772727272727</v>
      </c>
      <c r="AL178" s="6">
        <f t="shared" si="126"/>
        <v>3.8559602649006623</v>
      </c>
      <c r="AM178" s="6">
        <f t="shared" si="126"/>
        <v>4.7935943060498225</v>
      </c>
      <c r="AN178" s="6">
        <f t="shared" si="126"/>
        <v>3.172995780590717</v>
      </c>
      <c r="AO178" s="6">
        <f t="shared" si="126"/>
        <v>3.345063025210084</v>
      </c>
      <c r="AP178" s="6">
        <f t="shared" si="126"/>
        <v>2.8062601187263896</v>
      </c>
      <c r="AQ178" s="6">
        <f t="shared" si="126"/>
        <v>3.0456490727532097</v>
      </c>
      <c r="AR178" s="6">
        <f t="shared" si="126"/>
        <v>2.6363636363636362</v>
      </c>
      <c r="AS178" s="6">
        <f t="shared" si="126"/>
        <v>3.105022831050228</v>
      </c>
      <c r="AT178" s="6">
        <f t="shared" si="126"/>
        <v>3.163076923076923</v>
      </c>
      <c r="AU178" s="6">
        <f t="shared" si="126"/>
        <v>3.349056603773585</v>
      </c>
      <c r="AV178" s="6">
        <f t="shared" si="126"/>
        <v>2.896017699115044</v>
      </c>
      <c r="AW178" s="6">
        <f t="shared" si="126"/>
        <v>4.18</v>
      </c>
      <c r="AX178" s="6">
        <f t="shared" si="126"/>
        <v>5.8427672955974845</v>
      </c>
      <c r="AY178" s="6">
        <f t="shared" si="126"/>
        <v>4.80085653104925</v>
      </c>
      <c r="AZ178" s="6">
        <f t="shared" si="126"/>
        <v>2.9657534246575343</v>
      </c>
      <c r="BA178" s="6">
        <f t="shared" si="126"/>
        <v>2.5007541478129713</v>
      </c>
      <c r="BB178" s="6">
        <f t="shared" si="126"/>
        <v>1.6969147005444647</v>
      </c>
      <c r="BC178" s="6">
        <f t="shared" si="126"/>
        <v>2.8003663003663</v>
      </c>
      <c r="BD178" s="6">
        <f t="shared" si="126"/>
        <v>3.230576441102757</v>
      </c>
      <c r="BE178" s="6">
        <f t="shared" si="126"/>
        <v>1.7923728813559323</v>
      </c>
      <c r="BF178" s="6">
        <f t="shared" si="126"/>
        <v>6.426666666666667</v>
      </c>
      <c r="BG178" s="6">
        <f t="shared" si="126"/>
        <v>3.7160161507402423</v>
      </c>
      <c r="BH178" s="6">
        <f t="shared" si="126"/>
        <v>8.286634460547504</v>
      </c>
      <c r="BI178" s="6">
        <f t="shared" si="126"/>
        <v>8.83044982698962</v>
      </c>
      <c r="BJ178" s="6">
        <f t="shared" si="126"/>
        <v>10.181818181818182</v>
      </c>
      <c r="BK178" s="6">
        <f t="shared" si="126"/>
        <v>7.630434782608695</v>
      </c>
      <c r="BL178" s="6">
        <f t="shared" si="126"/>
        <v>6.409448818897638</v>
      </c>
      <c r="BM178" s="6">
        <f t="shared" si="126"/>
        <v>11.612068965517242</v>
      </c>
      <c r="BN178" s="6">
        <f t="shared" si="126"/>
        <v>4.206535366198892</v>
      </c>
      <c r="BO178" s="6">
        <f t="shared" si="126"/>
        <v>3.410185822436339</v>
      </c>
      <c r="BP178" s="6">
        <f t="shared" si="126"/>
        <v>8.554615384615385</v>
      </c>
      <c r="BQ178" s="6">
        <f t="shared" si="126"/>
        <v>4.370123726346434</v>
      </c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73:82" ht="15.75">
      <c r="BU179" s="8"/>
      <c r="BZ179" s="8"/>
      <c r="CD179" s="8"/>
    </row>
    <row r="180" spans="73:82" ht="15.75">
      <c r="BU180" s="8"/>
      <c r="BZ180" s="8"/>
      <c r="CD180" s="8"/>
    </row>
    <row r="181" spans="1:82" ht="15.75">
      <c r="A181" s="15" t="s">
        <v>229</v>
      </c>
      <c r="B181" t="s">
        <v>230</v>
      </c>
      <c r="C181" t="s">
        <v>231</v>
      </c>
      <c r="D181" t="s">
        <v>68</v>
      </c>
      <c r="Y181">
        <f>SUM(G181:X181)</f>
        <v>0</v>
      </c>
      <c r="Z181">
        <f>SUM(G181:T181)</f>
        <v>0</v>
      </c>
      <c r="BU181" s="8"/>
      <c r="BZ181" s="8"/>
      <c r="CD181" s="8"/>
    </row>
    <row r="182" spans="4:82" ht="15.75">
      <c r="D182" t="s">
        <v>70</v>
      </c>
      <c r="Y182">
        <f>SUM(G182:X182)</f>
        <v>0</v>
      </c>
      <c r="Z182">
        <f>SUM(G182:T182)</f>
        <v>0</v>
      </c>
      <c r="BU182" s="8"/>
      <c r="BZ182" s="8"/>
      <c r="CD182" s="8"/>
    </row>
    <row r="183" spans="2:82" ht="15.75">
      <c r="B183" t="s">
        <v>232</v>
      </c>
      <c r="C183" t="s">
        <v>233</v>
      </c>
      <c r="D183" t="s">
        <v>68</v>
      </c>
      <c r="Y183">
        <f>SUM(G183:X183)</f>
        <v>0</v>
      </c>
      <c r="Z183">
        <f>SUM(G183:T183)</f>
        <v>0</v>
      </c>
      <c r="AB183">
        <v>46</v>
      </c>
      <c r="AD183">
        <v>35</v>
      </c>
      <c r="AE183">
        <v>108</v>
      </c>
      <c r="AF183">
        <v>66</v>
      </c>
      <c r="AG183">
        <v>47</v>
      </c>
      <c r="AH183">
        <v>75</v>
      </c>
      <c r="AI183">
        <v>174</v>
      </c>
      <c r="AJ183">
        <v>391</v>
      </c>
      <c r="AK183">
        <v>168</v>
      </c>
      <c r="AL183">
        <v>54</v>
      </c>
      <c r="AM183">
        <v>38</v>
      </c>
      <c r="AN183">
        <v>14</v>
      </c>
      <c r="AO183">
        <v>17</v>
      </c>
      <c r="AP183">
        <v>98</v>
      </c>
      <c r="AQ183">
        <v>31</v>
      </c>
      <c r="AR183">
        <v>227</v>
      </c>
      <c r="AS183">
        <v>73</v>
      </c>
      <c r="AT183">
        <v>150</v>
      </c>
      <c r="AU183">
        <v>66</v>
      </c>
      <c r="AV183">
        <v>10</v>
      </c>
      <c r="AX183">
        <v>28</v>
      </c>
      <c r="AY183">
        <v>81</v>
      </c>
      <c r="AZ183">
        <v>51</v>
      </c>
      <c r="BB183">
        <v>42</v>
      </c>
      <c r="BC183">
        <v>16</v>
      </c>
      <c r="BD183">
        <v>83</v>
      </c>
      <c r="BE183">
        <v>4</v>
      </c>
      <c r="BG183">
        <v>20</v>
      </c>
      <c r="BH183">
        <v>38</v>
      </c>
      <c r="BI183">
        <v>63</v>
      </c>
      <c r="BJ183">
        <v>72</v>
      </c>
      <c r="BK183">
        <v>108</v>
      </c>
      <c r="BL183">
        <v>87</v>
      </c>
      <c r="BM183">
        <v>40</v>
      </c>
      <c r="BN183">
        <f aca="true" t="shared" si="127" ref="BN183:BN218">SUM(AA183:BC183)</f>
        <v>2106</v>
      </c>
      <c r="BO183">
        <f aca="true" t="shared" si="128" ref="BO183:BO218">SUM(BD183:BG183)</f>
        <v>107</v>
      </c>
      <c r="BP183">
        <f aca="true" t="shared" si="129" ref="BP183:BP218">SUM(BH183:BM183)</f>
        <v>408</v>
      </c>
      <c r="BQ183">
        <f aca="true" t="shared" si="130" ref="BQ183:BQ218">SUM(BN183:BP183)</f>
        <v>2621</v>
      </c>
      <c r="BU183" s="8"/>
      <c r="BZ183" s="8"/>
      <c r="CD183" s="8"/>
    </row>
    <row r="184" spans="4:82" ht="15.75">
      <c r="D184" t="s">
        <v>70</v>
      </c>
      <c r="Y184">
        <f>SUM(G184:X184)</f>
        <v>0</v>
      </c>
      <c r="Z184">
        <f>SUM(G184:T184)</f>
        <v>0</v>
      </c>
      <c r="AB184">
        <v>1455</v>
      </c>
      <c r="AD184">
        <v>435</v>
      </c>
      <c r="AE184">
        <v>899</v>
      </c>
      <c r="AF184">
        <v>280</v>
      </c>
      <c r="AG184">
        <v>622</v>
      </c>
      <c r="AH184">
        <v>593</v>
      </c>
      <c r="AI184">
        <v>2984</v>
      </c>
      <c r="AJ184">
        <v>2887</v>
      </c>
      <c r="AK184">
        <v>915</v>
      </c>
      <c r="AL184">
        <v>889</v>
      </c>
      <c r="AM184">
        <v>736</v>
      </c>
      <c r="AN184">
        <v>150</v>
      </c>
      <c r="AO184">
        <v>793</v>
      </c>
      <c r="AP184">
        <v>626</v>
      </c>
      <c r="AQ184">
        <v>303</v>
      </c>
      <c r="AR184">
        <v>654</v>
      </c>
      <c r="AS184">
        <v>406</v>
      </c>
      <c r="AT184">
        <v>655</v>
      </c>
      <c r="AU184">
        <v>338</v>
      </c>
      <c r="AV184">
        <v>33</v>
      </c>
      <c r="AX184">
        <v>111</v>
      </c>
      <c r="AY184">
        <v>456</v>
      </c>
      <c r="AZ184">
        <v>240</v>
      </c>
      <c r="BB184">
        <v>372</v>
      </c>
      <c r="BC184">
        <v>82</v>
      </c>
      <c r="BD184">
        <v>346</v>
      </c>
      <c r="BE184">
        <v>4</v>
      </c>
      <c r="BG184">
        <v>285</v>
      </c>
      <c r="BH184">
        <v>486</v>
      </c>
      <c r="BI184">
        <v>626</v>
      </c>
      <c r="BJ184">
        <v>612</v>
      </c>
      <c r="BK184">
        <v>1003</v>
      </c>
      <c r="BL184">
        <v>497</v>
      </c>
      <c r="BM184">
        <v>420</v>
      </c>
      <c r="BN184">
        <f t="shared" si="127"/>
        <v>17914</v>
      </c>
      <c r="BO184">
        <f t="shared" si="128"/>
        <v>635</v>
      </c>
      <c r="BP184">
        <f t="shared" si="129"/>
        <v>3644</v>
      </c>
      <c r="BQ184">
        <f t="shared" si="130"/>
        <v>22193</v>
      </c>
      <c r="BU184" s="8"/>
      <c r="BZ184" s="8"/>
      <c r="CD184" s="8"/>
    </row>
    <row r="185" spans="2:82" ht="15.75">
      <c r="B185" t="s">
        <v>234</v>
      </c>
      <c r="D185" t="s">
        <v>68</v>
      </c>
      <c r="AB185">
        <v>20</v>
      </c>
      <c r="AD185">
        <v>15</v>
      </c>
      <c r="AE185">
        <v>1</v>
      </c>
      <c r="AG185">
        <v>22</v>
      </c>
      <c r="AI185">
        <v>8</v>
      </c>
      <c r="AL185">
        <v>20</v>
      </c>
      <c r="AM185">
        <v>13</v>
      </c>
      <c r="AN185">
        <v>7</v>
      </c>
      <c r="AO185">
        <v>12</v>
      </c>
      <c r="AP185">
        <v>6</v>
      </c>
      <c r="AQ185">
        <v>8</v>
      </c>
      <c r="AR185">
        <v>1</v>
      </c>
      <c r="AS185">
        <v>5</v>
      </c>
      <c r="AT185">
        <v>12</v>
      </c>
      <c r="AV185">
        <v>113</v>
      </c>
      <c r="AW185">
        <v>37</v>
      </c>
      <c r="AX185">
        <v>1</v>
      </c>
      <c r="AY185">
        <v>93</v>
      </c>
      <c r="AZ185">
        <v>3</v>
      </c>
      <c r="BA185">
        <v>72</v>
      </c>
      <c r="BB185">
        <v>45</v>
      </c>
      <c r="BC185">
        <v>1</v>
      </c>
      <c r="BG185">
        <v>1</v>
      </c>
      <c r="BH185">
        <v>5</v>
      </c>
      <c r="BI185">
        <v>8</v>
      </c>
      <c r="BM185">
        <v>50</v>
      </c>
      <c r="BN185">
        <f t="shared" si="127"/>
        <v>515</v>
      </c>
      <c r="BO185">
        <f t="shared" si="128"/>
        <v>1</v>
      </c>
      <c r="BP185">
        <f t="shared" si="129"/>
        <v>63</v>
      </c>
      <c r="BQ185">
        <f t="shared" si="130"/>
        <v>579</v>
      </c>
      <c r="BU185" s="8"/>
      <c r="BZ185" s="8"/>
      <c r="CD185" s="8"/>
    </row>
    <row r="186" spans="4:82" ht="15.75">
      <c r="D186" t="s">
        <v>70</v>
      </c>
      <c r="AB186">
        <v>207</v>
      </c>
      <c r="AD186">
        <v>104</v>
      </c>
      <c r="AE186">
        <v>5</v>
      </c>
      <c r="AG186">
        <v>135</v>
      </c>
      <c r="AI186">
        <v>137</v>
      </c>
      <c r="AL186">
        <v>157</v>
      </c>
      <c r="AM186">
        <v>119</v>
      </c>
      <c r="AN186">
        <v>88</v>
      </c>
      <c r="AO186">
        <v>111</v>
      </c>
      <c r="AP186">
        <v>23</v>
      </c>
      <c r="AQ186">
        <v>67</v>
      </c>
      <c r="AR186">
        <v>3</v>
      </c>
      <c r="AS186">
        <v>8</v>
      </c>
      <c r="AT186">
        <v>36</v>
      </c>
      <c r="AV186">
        <v>267</v>
      </c>
      <c r="AW186">
        <v>200</v>
      </c>
      <c r="AX186">
        <v>6</v>
      </c>
      <c r="AY186">
        <v>673</v>
      </c>
      <c r="AZ186">
        <v>10</v>
      </c>
      <c r="BA186">
        <v>263</v>
      </c>
      <c r="BB186">
        <v>151</v>
      </c>
      <c r="BC186">
        <v>12</v>
      </c>
      <c r="BG186">
        <v>15</v>
      </c>
      <c r="BH186">
        <v>38</v>
      </c>
      <c r="BI186">
        <v>44</v>
      </c>
      <c r="BM186">
        <v>450</v>
      </c>
      <c r="BN186">
        <f t="shared" si="127"/>
        <v>2782</v>
      </c>
      <c r="BO186">
        <f t="shared" si="128"/>
        <v>15</v>
      </c>
      <c r="BP186">
        <f t="shared" si="129"/>
        <v>532</v>
      </c>
      <c r="BQ186">
        <f t="shared" si="130"/>
        <v>3329</v>
      </c>
      <c r="BU186" s="8"/>
      <c r="BZ186" s="8"/>
      <c r="CD186" s="8"/>
    </row>
    <row r="187" spans="2:82" ht="15.75">
      <c r="B187" t="s">
        <v>235</v>
      </c>
      <c r="C187" t="s">
        <v>236</v>
      </c>
      <c r="D187" t="s">
        <v>68</v>
      </c>
      <c r="Y187">
        <f aca="true" t="shared" si="131" ref="Y187:Y205">SUM(G187:X187)</f>
        <v>0</v>
      </c>
      <c r="Z187">
        <f aca="true" t="shared" si="132" ref="Z187:Z205">SUM(G187:T187)</f>
        <v>0</v>
      </c>
      <c r="AB187">
        <v>1073</v>
      </c>
      <c r="AD187">
        <v>450</v>
      </c>
      <c r="AE187">
        <v>105</v>
      </c>
      <c r="AF187">
        <v>237</v>
      </c>
      <c r="AG187">
        <v>113</v>
      </c>
      <c r="AH187">
        <v>36</v>
      </c>
      <c r="AI187">
        <v>115</v>
      </c>
      <c r="AJ187">
        <v>187</v>
      </c>
      <c r="AK187">
        <v>204</v>
      </c>
      <c r="AL187">
        <v>870</v>
      </c>
      <c r="AM187">
        <v>437</v>
      </c>
      <c r="AN187">
        <v>313</v>
      </c>
      <c r="AO187">
        <v>443</v>
      </c>
      <c r="AP187">
        <v>1221</v>
      </c>
      <c r="AQ187">
        <v>530</v>
      </c>
      <c r="AR187">
        <v>233</v>
      </c>
      <c r="AS187">
        <v>186</v>
      </c>
      <c r="AT187">
        <v>272</v>
      </c>
      <c r="AU187">
        <v>298</v>
      </c>
      <c r="AV187">
        <v>423</v>
      </c>
      <c r="AW187">
        <v>33</v>
      </c>
      <c r="AX187">
        <v>73</v>
      </c>
      <c r="AY187">
        <v>288</v>
      </c>
      <c r="AZ187">
        <v>84</v>
      </c>
      <c r="BA187">
        <v>391</v>
      </c>
      <c r="BB187">
        <v>341</v>
      </c>
      <c r="BC187">
        <v>230</v>
      </c>
      <c r="BD187">
        <v>280</v>
      </c>
      <c r="BE187">
        <v>206</v>
      </c>
      <c r="BF187">
        <v>84</v>
      </c>
      <c r="BG187">
        <v>345</v>
      </c>
      <c r="BH187">
        <v>332</v>
      </c>
      <c r="BI187">
        <v>81</v>
      </c>
      <c r="BJ187">
        <v>20</v>
      </c>
      <c r="BK187">
        <v>27</v>
      </c>
      <c r="BL187">
        <v>71</v>
      </c>
      <c r="BM187">
        <v>120</v>
      </c>
      <c r="BN187">
        <f t="shared" si="127"/>
        <v>9186</v>
      </c>
      <c r="BO187">
        <f t="shared" si="128"/>
        <v>915</v>
      </c>
      <c r="BP187">
        <f t="shared" si="129"/>
        <v>651</v>
      </c>
      <c r="BQ187">
        <f t="shared" si="130"/>
        <v>10752</v>
      </c>
      <c r="BU187" s="8"/>
      <c r="BZ187" s="8"/>
      <c r="CD187" s="8"/>
    </row>
    <row r="188" spans="4:82" ht="15.75">
      <c r="D188" t="s">
        <v>70</v>
      </c>
      <c r="Y188">
        <f t="shared" si="131"/>
        <v>0</v>
      </c>
      <c r="Z188">
        <f t="shared" si="132"/>
        <v>0</v>
      </c>
      <c r="AB188">
        <v>9278</v>
      </c>
      <c r="AD188">
        <v>1759</v>
      </c>
      <c r="AE188">
        <v>560</v>
      </c>
      <c r="AF188">
        <v>1170</v>
      </c>
      <c r="AG188">
        <v>867</v>
      </c>
      <c r="AH188">
        <v>306</v>
      </c>
      <c r="AI188">
        <v>2087</v>
      </c>
      <c r="AJ188">
        <v>1052</v>
      </c>
      <c r="AK188">
        <v>1196</v>
      </c>
      <c r="AL188">
        <v>3169</v>
      </c>
      <c r="AM188">
        <v>2133</v>
      </c>
      <c r="AN188">
        <v>1034</v>
      </c>
      <c r="AO188">
        <v>1829</v>
      </c>
      <c r="AP188">
        <v>3223</v>
      </c>
      <c r="AQ188">
        <v>1651</v>
      </c>
      <c r="AR188">
        <v>680</v>
      </c>
      <c r="AS188">
        <v>440</v>
      </c>
      <c r="AT188">
        <v>765</v>
      </c>
      <c r="AU188">
        <v>1099</v>
      </c>
      <c r="AV188">
        <v>958</v>
      </c>
      <c r="AW188">
        <v>140</v>
      </c>
      <c r="AX188">
        <v>370</v>
      </c>
      <c r="AY188">
        <v>1383</v>
      </c>
      <c r="AZ188">
        <v>292</v>
      </c>
      <c r="BA188">
        <v>1191</v>
      </c>
      <c r="BB188">
        <v>614</v>
      </c>
      <c r="BC188">
        <v>700</v>
      </c>
      <c r="BD188">
        <v>1684</v>
      </c>
      <c r="BE188">
        <v>323</v>
      </c>
      <c r="BF188">
        <v>398</v>
      </c>
      <c r="BG188">
        <v>1145</v>
      </c>
      <c r="BH188">
        <v>1684</v>
      </c>
      <c r="BI188">
        <v>562</v>
      </c>
      <c r="BJ188">
        <v>164</v>
      </c>
      <c r="BK188">
        <v>198</v>
      </c>
      <c r="BL188">
        <v>402</v>
      </c>
      <c r="BM188">
        <v>1200</v>
      </c>
      <c r="BN188">
        <f t="shared" si="127"/>
        <v>39946</v>
      </c>
      <c r="BO188">
        <f t="shared" si="128"/>
        <v>3550</v>
      </c>
      <c r="BP188">
        <f t="shared" si="129"/>
        <v>4210</v>
      </c>
      <c r="BQ188">
        <f t="shared" si="130"/>
        <v>47706</v>
      </c>
      <c r="BU188" s="8"/>
      <c r="BZ188" s="8"/>
      <c r="CD188" s="8"/>
    </row>
    <row r="189" spans="2:82" ht="15.75">
      <c r="B189" t="s">
        <v>237</v>
      </c>
      <c r="C189" t="s">
        <v>238</v>
      </c>
      <c r="D189" t="s">
        <v>68</v>
      </c>
      <c r="Y189">
        <f t="shared" si="131"/>
        <v>0</v>
      </c>
      <c r="Z189">
        <f t="shared" si="132"/>
        <v>0</v>
      </c>
      <c r="AB189">
        <v>150</v>
      </c>
      <c r="AD189">
        <v>870</v>
      </c>
      <c r="AE189">
        <v>703</v>
      </c>
      <c r="AF189">
        <v>401</v>
      </c>
      <c r="AG189">
        <v>804</v>
      </c>
      <c r="AH189">
        <v>142</v>
      </c>
      <c r="AI189">
        <v>631</v>
      </c>
      <c r="AJ189">
        <v>1234</v>
      </c>
      <c r="AK189">
        <v>132</v>
      </c>
      <c r="AL189">
        <v>692</v>
      </c>
      <c r="AM189">
        <v>578</v>
      </c>
      <c r="AN189">
        <v>753</v>
      </c>
      <c r="AO189">
        <v>750</v>
      </c>
      <c r="AP189">
        <v>442</v>
      </c>
      <c r="AQ189">
        <v>459</v>
      </c>
      <c r="AR189">
        <v>596</v>
      </c>
      <c r="AS189">
        <v>300</v>
      </c>
      <c r="AT189">
        <v>89</v>
      </c>
      <c r="AU189">
        <v>261</v>
      </c>
      <c r="AV189">
        <v>133</v>
      </c>
      <c r="AW189">
        <v>496</v>
      </c>
      <c r="AX189">
        <v>100</v>
      </c>
      <c r="AY189">
        <v>234</v>
      </c>
      <c r="AZ189">
        <v>109</v>
      </c>
      <c r="BA189">
        <v>276</v>
      </c>
      <c r="BB189">
        <v>622</v>
      </c>
      <c r="BC189">
        <v>136</v>
      </c>
      <c r="BD189">
        <v>31</v>
      </c>
      <c r="BE189">
        <v>105</v>
      </c>
      <c r="BG189">
        <v>244</v>
      </c>
      <c r="BI189">
        <v>104</v>
      </c>
      <c r="BJ189">
        <v>137</v>
      </c>
      <c r="BK189">
        <v>198</v>
      </c>
      <c r="BL189">
        <v>294</v>
      </c>
      <c r="BM189">
        <v>320</v>
      </c>
      <c r="BN189">
        <f t="shared" si="127"/>
        <v>12093</v>
      </c>
      <c r="BO189">
        <f t="shared" si="128"/>
        <v>380</v>
      </c>
      <c r="BP189">
        <f t="shared" si="129"/>
        <v>1053</v>
      </c>
      <c r="BQ189">
        <f t="shared" si="130"/>
        <v>13526</v>
      </c>
      <c r="BU189" s="8"/>
      <c r="BZ189" s="8"/>
      <c r="CD189" s="8"/>
    </row>
    <row r="190" spans="4:82" ht="15.75">
      <c r="D190" t="s">
        <v>70</v>
      </c>
      <c r="Y190">
        <f t="shared" si="131"/>
        <v>0</v>
      </c>
      <c r="Z190">
        <f t="shared" si="132"/>
        <v>0</v>
      </c>
      <c r="AB190">
        <v>1030</v>
      </c>
      <c r="AD190">
        <v>2509</v>
      </c>
      <c r="AE190">
        <v>2078</v>
      </c>
      <c r="AF190">
        <v>1502</v>
      </c>
      <c r="AG190">
        <v>3997</v>
      </c>
      <c r="AH190">
        <v>540</v>
      </c>
      <c r="AI190">
        <v>14607</v>
      </c>
      <c r="AJ190">
        <v>3834</v>
      </c>
      <c r="AK190">
        <v>2786</v>
      </c>
      <c r="AL190">
        <v>2748</v>
      </c>
      <c r="AM190">
        <v>2620</v>
      </c>
      <c r="AN190">
        <v>2616</v>
      </c>
      <c r="AO190">
        <v>2219</v>
      </c>
      <c r="AP190">
        <v>1239</v>
      </c>
      <c r="AQ190">
        <v>1304</v>
      </c>
      <c r="AR190">
        <v>1084</v>
      </c>
      <c r="AS190">
        <v>693</v>
      </c>
      <c r="AT190">
        <v>488</v>
      </c>
      <c r="AU190">
        <v>533</v>
      </c>
      <c r="AV190">
        <v>348</v>
      </c>
      <c r="AW190">
        <v>1229</v>
      </c>
      <c r="AX190">
        <v>217</v>
      </c>
      <c r="AY190">
        <v>1373</v>
      </c>
      <c r="AZ190">
        <v>156</v>
      </c>
      <c r="BA190">
        <v>670</v>
      </c>
      <c r="BB190">
        <v>1030</v>
      </c>
      <c r="BC190">
        <v>345</v>
      </c>
      <c r="BD190">
        <v>70</v>
      </c>
      <c r="BE190">
        <v>179</v>
      </c>
      <c r="BG190">
        <v>764</v>
      </c>
      <c r="BI190">
        <v>807</v>
      </c>
      <c r="BJ190">
        <v>1000</v>
      </c>
      <c r="BK190">
        <v>1239</v>
      </c>
      <c r="BL190">
        <v>1453</v>
      </c>
      <c r="BM190">
        <v>3200</v>
      </c>
      <c r="BN190">
        <f t="shared" si="127"/>
        <v>53795</v>
      </c>
      <c r="BO190">
        <f t="shared" si="128"/>
        <v>1013</v>
      </c>
      <c r="BP190">
        <f t="shared" si="129"/>
        <v>7699</v>
      </c>
      <c r="BQ190">
        <f t="shared" si="130"/>
        <v>62507</v>
      </c>
      <c r="BU190" s="8"/>
      <c r="BZ190" s="8"/>
      <c r="CD190" s="8"/>
    </row>
    <row r="191" spans="2:82" ht="15.75">
      <c r="B191" t="s">
        <v>239</v>
      </c>
      <c r="C191" t="s">
        <v>240</v>
      </c>
      <c r="D191" t="s">
        <v>68</v>
      </c>
      <c r="Y191">
        <f t="shared" si="131"/>
        <v>0</v>
      </c>
      <c r="Z191">
        <f t="shared" si="132"/>
        <v>0</v>
      </c>
      <c r="AB191">
        <v>33</v>
      </c>
      <c r="AD191">
        <v>35</v>
      </c>
      <c r="AE191">
        <v>28</v>
      </c>
      <c r="AF191">
        <v>44</v>
      </c>
      <c r="AG191">
        <v>36</v>
      </c>
      <c r="AH191">
        <v>21</v>
      </c>
      <c r="AI191">
        <v>77</v>
      </c>
      <c r="AJ191">
        <v>55</v>
      </c>
      <c r="AK191">
        <v>45</v>
      </c>
      <c r="AL191">
        <v>34</v>
      </c>
      <c r="AM191">
        <v>45</v>
      </c>
      <c r="AN191">
        <v>20</v>
      </c>
      <c r="AO191">
        <v>85</v>
      </c>
      <c r="AP191">
        <v>31</v>
      </c>
      <c r="AQ191">
        <v>51</v>
      </c>
      <c r="AR191">
        <v>33</v>
      </c>
      <c r="AS191">
        <v>24</v>
      </c>
      <c r="AT191">
        <v>26</v>
      </c>
      <c r="AU191">
        <v>8</v>
      </c>
      <c r="AV191">
        <v>25</v>
      </c>
      <c r="AW191">
        <v>1</v>
      </c>
      <c r="AX191">
        <v>6</v>
      </c>
      <c r="AY191">
        <v>22</v>
      </c>
      <c r="AZ191">
        <v>8</v>
      </c>
      <c r="BA191">
        <v>43</v>
      </c>
      <c r="BB191">
        <v>67</v>
      </c>
      <c r="BC191">
        <v>15</v>
      </c>
      <c r="BD191">
        <v>38</v>
      </c>
      <c r="BE191">
        <v>13</v>
      </c>
      <c r="BF191">
        <v>1</v>
      </c>
      <c r="BG191">
        <v>71</v>
      </c>
      <c r="BH191">
        <v>25</v>
      </c>
      <c r="BI191">
        <v>31</v>
      </c>
      <c r="BJ191">
        <v>16</v>
      </c>
      <c r="BK191">
        <v>30</v>
      </c>
      <c r="BL191">
        <v>18</v>
      </c>
      <c r="BM191">
        <v>40</v>
      </c>
      <c r="BN191">
        <f t="shared" si="127"/>
        <v>918</v>
      </c>
      <c r="BO191">
        <f t="shared" si="128"/>
        <v>123</v>
      </c>
      <c r="BP191">
        <f t="shared" si="129"/>
        <v>160</v>
      </c>
      <c r="BQ191">
        <f t="shared" si="130"/>
        <v>1201</v>
      </c>
      <c r="BU191" s="8"/>
      <c r="BZ191" s="8"/>
      <c r="CD191" s="8"/>
    </row>
    <row r="192" spans="4:82" ht="15.75">
      <c r="D192" t="s">
        <v>70</v>
      </c>
      <c r="Y192">
        <f t="shared" si="131"/>
        <v>0</v>
      </c>
      <c r="Z192">
        <f t="shared" si="132"/>
        <v>0</v>
      </c>
      <c r="AB192">
        <v>328</v>
      </c>
      <c r="AD192">
        <v>174</v>
      </c>
      <c r="AE192">
        <v>148</v>
      </c>
      <c r="AF192">
        <v>181</v>
      </c>
      <c r="AG192">
        <v>131</v>
      </c>
      <c r="AH192">
        <v>111</v>
      </c>
      <c r="AI192">
        <v>1578</v>
      </c>
      <c r="AJ192">
        <v>261</v>
      </c>
      <c r="AK192">
        <v>276</v>
      </c>
      <c r="AL192">
        <v>237</v>
      </c>
      <c r="AM192">
        <v>387</v>
      </c>
      <c r="AN192">
        <v>117</v>
      </c>
      <c r="AO192">
        <v>365</v>
      </c>
      <c r="AP192">
        <v>167</v>
      </c>
      <c r="AQ192">
        <v>230</v>
      </c>
      <c r="AR192">
        <v>124</v>
      </c>
      <c r="AS192">
        <v>77</v>
      </c>
      <c r="AT192">
        <v>108</v>
      </c>
      <c r="AU192">
        <v>40</v>
      </c>
      <c r="AV192">
        <v>56</v>
      </c>
      <c r="AW192">
        <v>2</v>
      </c>
      <c r="AX192">
        <v>32</v>
      </c>
      <c r="AY192">
        <v>162</v>
      </c>
      <c r="AZ192">
        <v>15</v>
      </c>
      <c r="BA192">
        <v>137</v>
      </c>
      <c r="BB192">
        <v>133</v>
      </c>
      <c r="BC192">
        <v>54</v>
      </c>
      <c r="BD192">
        <v>124</v>
      </c>
      <c r="BE192">
        <v>24</v>
      </c>
      <c r="BF192">
        <v>15</v>
      </c>
      <c r="BG192">
        <v>260</v>
      </c>
      <c r="BH192">
        <v>266</v>
      </c>
      <c r="BI192">
        <v>303</v>
      </c>
      <c r="BJ192">
        <v>133</v>
      </c>
      <c r="BK192">
        <v>238</v>
      </c>
      <c r="BL192">
        <v>113</v>
      </c>
      <c r="BM192">
        <v>360</v>
      </c>
      <c r="BN192">
        <f t="shared" si="127"/>
        <v>5631</v>
      </c>
      <c r="BO192">
        <f t="shared" si="128"/>
        <v>423</v>
      </c>
      <c r="BP192">
        <f t="shared" si="129"/>
        <v>1413</v>
      </c>
      <c r="BQ192">
        <f t="shared" si="130"/>
        <v>7467</v>
      </c>
      <c r="BU192" s="8"/>
      <c r="BZ192" s="8"/>
      <c r="CD192" s="8"/>
    </row>
    <row r="193" spans="2:82" ht="15.75">
      <c r="B193" t="s">
        <v>241</v>
      </c>
      <c r="C193" t="s">
        <v>242</v>
      </c>
      <c r="D193" t="s">
        <v>68</v>
      </c>
      <c r="Y193">
        <f t="shared" si="131"/>
        <v>0</v>
      </c>
      <c r="Z193">
        <f t="shared" si="132"/>
        <v>0</v>
      </c>
      <c r="AB193">
        <v>33</v>
      </c>
      <c r="AD193">
        <v>27</v>
      </c>
      <c r="AE193">
        <v>12</v>
      </c>
      <c r="AF193">
        <v>8</v>
      </c>
      <c r="AG193">
        <v>13</v>
      </c>
      <c r="AH193">
        <v>7</v>
      </c>
      <c r="AI193">
        <v>14</v>
      </c>
      <c r="AJ193">
        <v>34</v>
      </c>
      <c r="AK193">
        <v>26</v>
      </c>
      <c r="AL193">
        <v>79</v>
      </c>
      <c r="AM193">
        <v>28</v>
      </c>
      <c r="AN193">
        <v>13</v>
      </c>
      <c r="AO193">
        <v>57</v>
      </c>
      <c r="AP193">
        <v>44</v>
      </c>
      <c r="AQ193">
        <v>60</v>
      </c>
      <c r="AR193">
        <v>25</v>
      </c>
      <c r="AS193">
        <v>16</v>
      </c>
      <c r="AT193">
        <v>24</v>
      </c>
      <c r="AU193">
        <v>15</v>
      </c>
      <c r="AV193">
        <v>8</v>
      </c>
      <c r="AW193">
        <v>3</v>
      </c>
      <c r="AX193">
        <v>6</v>
      </c>
      <c r="AY193">
        <v>31</v>
      </c>
      <c r="AZ193">
        <v>10</v>
      </c>
      <c r="BA193">
        <v>23</v>
      </c>
      <c r="BB193">
        <v>14</v>
      </c>
      <c r="BC193">
        <v>4</v>
      </c>
      <c r="BD193">
        <v>20</v>
      </c>
      <c r="BE193">
        <v>10</v>
      </c>
      <c r="BF193">
        <v>3</v>
      </c>
      <c r="BG193">
        <v>23</v>
      </c>
      <c r="BH193">
        <v>9</v>
      </c>
      <c r="BI193">
        <v>16</v>
      </c>
      <c r="BJ193">
        <v>9</v>
      </c>
      <c r="BK193">
        <v>8</v>
      </c>
      <c r="BL193">
        <v>5</v>
      </c>
      <c r="BM193">
        <v>42</v>
      </c>
      <c r="BN193">
        <f t="shared" si="127"/>
        <v>634</v>
      </c>
      <c r="BO193">
        <f t="shared" si="128"/>
        <v>56</v>
      </c>
      <c r="BP193">
        <f t="shared" si="129"/>
        <v>89</v>
      </c>
      <c r="BQ193">
        <f t="shared" si="130"/>
        <v>779</v>
      </c>
      <c r="BU193" s="8"/>
      <c r="BZ193" s="8"/>
      <c r="CD193" s="8"/>
    </row>
    <row r="194" spans="4:82" ht="15.75">
      <c r="D194" t="s">
        <v>70</v>
      </c>
      <c r="Y194">
        <f t="shared" si="131"/>
        <v>0</v>
      </c>
      <c r="Z194">
        <f t="shared" si="132"/>
        <v>0</v>
      </c>
      <c r="AB194">
        <v>334</v>
      </c>
      <c r="AD194">
        <v>135</v>
      </c>
      <c r="AE194">
        <v>83</v>
      </c>
      <c r="AF194">
        <v>46</v>
      </c>
      <c r="AG194">
        <v>84</v>
      </c>
      <c r="AH194">
        <v>33</v>
      </c>
      <c r="AI194">
        <v>438</v>
      </c>
      <c r="AJ194">
        <v>187</v>
      </c>
      <c r="AK194">
        <v>173</v>
      </c>
      <c r="AL194">
        <v>410</v>
      </c>
      <c r="AM194">
        <v>218</v>
      </c>
      <c r="AN194">
        <v>97</v>
      </c>
      <c r="AO194">
        <v>277</v>
      </c>
      <c r="AP194">
        <v>182</v>
      </c>
      <c r="AQ194">
        <v>277</v>
      </c>
      <c r="AR194">
        <v>126</v>
      </c>
      <c r="AS194">
        <v>54</v>
      </c>
      <c r="AT194">
        <v>102</v>
      </c>
      <c r="AU194">
        <v>62</v>
      </c>
      <c r="AV194">
        <v>24</v>
      </c>
      <c r="AW194">
        <v>19</v>
      </c>
      <c r="AX194">
        <v>26</v>
      </c>
      <c r="AY194">
        <v>165</v>
      </c>
      <c r="AZ194">
        <v>20</v>
      </c>
      <c r="BA194">
        <v>80</v>
      </c>
      <c r="BB194">
        <v>33</v>
      </c>
      <c r="BC194">
        <v>16</v>
      </c>
      <c r="BD194">
        <v>125</v>
      </c>
      <c r="BE194">
        <v>16</v>
      </c>
      <c r="BF194">
        <v>11</v>
      </c>
      <c r="BG194">
        <v>102</v>
      </c>
      <c r="BH194">
        <v>121</v>
      </c>
      <c r="BI194">
        <v>118</v>
      </c>
      <c r="BJ194">
        <v>56</v>
      </c>
      <c r="BK194">
        <v>59</v>
      </c>
      <c r="BL194">
        <v>39</v>
      </c>
      <c r="BM194">
        <v>378</v>
      </c>
      <c r="BN194">
        <f t="shared" si="127"/>
        <v>3701</v>
      </c>
      <c r="BO194">
        <f t="shared" si="128"/>
        <v>254</v>
      </c>
      <c r="BP194">
        <f t="shared" si="129"/>
        <v>771</v>
      </c>
      <c r="BQ194">
        <f t="shared" si="130"/>
        <v>4726</v>
      </c>
      <c r="BU194" s="8"/>
      <c r="BZ194" s="8"/>
      <c r="CD194" s="8"/>
    </row>
    <row r="195" spans="2:82" ht="15.75">
      <c r="B195" t="s">
        <v>243</v>
      </c>
      <c r="C195" t="s">
        <v>244</v>
      </c>
      <c r="D195" t="s">
        <v>68</v>
      </c>
      <c r="Y195">
        <f t="shared" si="131"/>
        <v>0</v>
      </c>
      <c r="Z195">
        <f t="shared" si="132"/>
        <v>0</v>
      </c>
      <c r="AB195">
        <v>39</v>
      </c>
      <c r="AD195">
        <v>2</v>
      </c>
      <c r="AE195">
        <v>3</v>
      </c>
      <c r="AG195">
        <v>4</v>
      </c>
      <c r="AH195">
        <v>2</v>
      </c>
      <c r="AI195">
        <v>2</v>
      </c>
      <c r="AK195">
        <v>4</v>
      </c>
      <c r="AL195">
        <v>14</v>
      </c>
      <c r="AM195">
        <v>15</v>
      </c>
      <c r="AN195">
        <v>1</v>
      </c>
      <c r="AO195">
        <v>3</v>
      </c>
      <c r="AP195">
        <v>10</v>
      </c>
      <c r="AQ195">
        <v>3</v>
      </c>
      <c r="AR195">
        <v>2</v>
      </c>
      <c r="AS195">
        <v>4</v>
      </c>
      <c r="AT195">
        <v>4</v>
      </c>
      <c r="AU195">
        <v>8</v>
      </c>
      <c r="AX195">
        <v>1</v>
      </c>
      <c r="AY195">
        <v>1</v>
      </c>
      <c r="BB195">
        <v>3</v>
      </c>
      <c r="BC195">
        <v>3</v>
      </c>
      <c r="BD195">
        <v>6</v>
      </c>
      <c r="BE195">
        <v>2</v>
      </c>
      <c r="BG195">
        <v>3</v>
      </c>
      <c r="BH195">
        <v>7</v>
      </c>
      <c r="BI195">
        <v>3</v>
      </c>
      <c r="BJ195">
        <v>1</v>
      </c>
      <c r="BK195">
        <v>1</v>
      </c>
      <c r="BL195">
        <v>7</v>
      </c>
      <c r="BM195">
        <v>4</v>
      </c>
      <c r="BN195">
        <f t="shared" si="127"/>
        <v>128</v>
      </c>
      <c r="BO195">
        <f t="shared" si="128"/>
        <v>11</v>
      </c>
      <c r="BP195">
        <f t="shared" si="129"/>
        <v>23</v>
      </c>
      <c r="BQ195">
        <f t="shared" si="130"/>
        <v>162</v>
      </c>
      <c r="BU195" s="8"/>
      <c r="BZ195" s="8"/>
      <c r="CD195" s="8"/>
    </row>
    <row r="196" spans="4:82" ht="15.75">
      <c r="D196" t="s">
        <v>70</v>
      </c>
      <c r="Y196">
        <f t="shared" si="131"/>
        <v>0</v>
      </c>
      <c r="Z196">
        <f t="shared" si="132"/>
        <v>0</v>
      </c>
      <c r="AB196">
        <v>909</v>
      </c>
      <c r="AD196">
        <v>29</v>
      </c>
      <c r="AE196">
        <v>18</v>
      </c>
      <c r="AG196">
        <v>39</v>
      </c>
      <c r="AH196">
        <v>25</v>
      </c>
      <c r="AI196">
        <v>42</v>
      </c>
      <c r="AK196">
        <v>50</v>
      </c>
      <c r="AL196">
        <v>158</v>
      </c>
      <c r="AM196">
        <v>145</v>
      </c>
      <c r="AN196">
        <v>2</v>
      </c>
      <c r="AO196">
        <v>63</v>
      </c>
      <c r="AP196">
        <v>120</v>
      </c>
      <c r="AQ196">
        <v>19</v>
      </c>
      <c r="AR196">
        <v>7</v>
      </c>
      <c r="AS196">
        <v>11</v>
      </c>
      <c r="AT196">
        <v>64</v>
      </c>
      <c r="AU196">
        <v>23</v>
      </c>
      <c r="AX196">
        <v>1</v>
      </c>
      <c r="AY196">
        <v>3</v>
      </c>
      <c r="BB196">
        <v>6</v>
      </c>
      <c r="BC196">
        <v>26</v>
      </c>
      <c r="BD196">
        <v>19</v>
      </c>
      <c r="BE196">
        <v>12</v>
      </c>
      <c r="BG196">
        <v>29</v>
      </c>
      <c r="BH196">
        <v>41</v>
      </c>
      <c r="BI196">
        <v>24</v>
      </c>
      <c r="BJ196">
        <v>9</v>
      </c>
      <c r="BK196">
        <v>8</v>
      </c>
      <c r="BL196">
        <v>47</v>
      </c>
      <c r="BM196">
        <v>32</v>
      </c>
      <c r="BN196">
        <f t="shared" si="127"/>
        <v>1760</v>
      </c>
      <c r="BO196">
        <f t="shared" si="128"/>
        <v>60</v>
      </c>
      <c r="BP196">
        <f t="shared" si="129"/>
        <v>161</v>
      </c>
      <c r="BQ196">
        <f t="shared" si="130"/>
        <v>1981</v>
      </c>
      <c r="BU196" s="8"/>
      <c r="BZ196" s="8"/>
      <c r="CD196" s="8"/>
    </row>
    <row r="197" spans="1:82" ht="15.75">
      <c r="A197" s="15" t="s">
        <v>245</v>
      </c>
      <c r="B197" t="s">
        <v>246</v>
      </c>
      <c r="C197" t="s">
        <v>247</v>
      </c>
      <c r="D197" t="s">
        <v>68</v>
      </c>
      <c r="Y197">
        <f t="shared" si="131"/>
        <v>0</v>
      </c>
      <c r="Z197">
        <f t="shared" si="132"/>
        <v>0</v>
      </c>
      <c r="BN197">
        <f t="shared" si="127"/>
        <v>0</v>
      </c>
      <c r="BO197">
        <f t="shared" si="128"/>
        <v>0</v>
      </c>
      <c r="BP197">
        <f t="shared" si="129"/>
        <v>0</v>
      </c>
      <c r="BQ197">
        <f t="shared" si="130"/>
        <v>0</v>
      </c>
      <c r="BU197" s="8"/>
      <c r="BZ197" s="8"/>
      <c r="CD197" s="8"/>
    </row>
    <row r="198" spans="4:82" ht="15.75">
      <c r="D198" t="s">
        <v>70</v>
      </c>
      <c r="Y198">
        <f t="shared" si="131"/>
        <v>0</v>
      </c>
      <c r="Z198">
        <f t="shared" si="132"/>
        <v>0</v>
      </c>
      <c r="BN198">
        <f t="shared" si="127"/>
        <v>0</v>
      </c>
      <c r="BO198">
        <f t="shared" si="128"/>
        <v>0</v>
      </c>
      <c r="BP198">
        <f t="shared" si="129"/>
        <v>0</v>
      </c>
      <c r="BQ198">
        <f t="shared" si="130"/>
        <v>0</v>
      </c>
      <c r="BU198" s="8"/>
      <c r="BZ198" s="8"/>
      <c r="CD198" s="8"/>
    </row>
    <row r="199" spans="2:82" ht="15.75">
      <c r="B199" t="s">
        <v>248</v>
      </c>
      <c r="C199" t="s">
        <v>249</v>
      </c>
      <c r="D199" t="s">
        <v>68</v>
      </c>
      <c r="Y199">
        <f t="shared" si="131"/>
        <v>0</v>
      </c>
      <c r="Z199">
        <f t="shared" si="132"/>
        <v>0</v>
      </c>
      <c r="AB199">
        <v>75</v>
      </c>
      <c r="AD199">
        <v>87</v>
      </c>
      <c r="AE199">
        <v>130</v>
      </c>
      <c r="AF199">
        <v>213</v>
      </c>
      <c r="AG199">
        <v>210</v>
      </c>
      <c r="AH199">
        <v>18</v>
      </c>
      <c r="AI199">
        <v>125</v>
      </c>
      <c r="AJ199">
        <v>77</v>
      </c>
      <c r="AK199">
        <v>255</v>
      </c>
      <c r="AL199">
        <v>57</v>
      </c>
      <c r="AM199">
        <v>112</v>
      </c>
      <c r="AN199">
        <v>137</v>
      </c>
      <c r="AO199">
        <v>257</v>
      </c>
      <c r="AP199">
        <v>128</v>
      </c>
      <c r="AQ199">
        <v>101</v>
      </c>
      <c r="AR199">
        <v>176</v>
      </c>
      <c r="AS199">
        <v>60</v>
      </c>
      <c r="AT199">
        <v>80</v>
      </c>
      <c r="AU199">
        <v>69</v>
      </c>
      <c r="AV199">
        <v>85</v>
      </c>
      <c r="AW199">
        <v>10</v>
      </c>
      <c r="AX199">
        <v>33</v>
      </c>
      <c r="AY199">
        <v>239</v>
      </c>
      <c r="AZ199">
        <v>117</v>
      </c>
      <c r="BA199">
        <v>238</v>
      </c>
      <c r="BB199">
        <v>318</v>
      </c>
      <c r="BC199">
        <v>138</v>
      </c>
      <c r="BD199">
        <v>47</v>
      </c>
      <c r="BE199">
        <v>39</v>
      </c>
      <c r="BF199">
        <v>2</v>
      </c>
      <c r="BN199">
        <f t="shared" si="127"/>
        <v>3545</v>
      </c>
      <c r="BO199">
        <f t="shared" si="128"/>
        <v>88</v>
      </c>
      <c r="BP199">
        <f t="shared" si="129"/>
        <v>0</v>
      </c>
      <c r="BQ199">
        <f t="shared" si="130"/>
        <v>3633</v>
      </c>
      <c r="BU199" s="8"/>
      <c r="BZ199" s="8"/>
      <c r="CD199" s="8"/>
    </row>
    <row r="200" spans="4:82" ht="15.75">
      <c r="D200" t="s">
        <v>70</v>
      </c>
      <c r="Y200">
        <f t="shared" si="131"/>
        <v>0</v>
      </c>
      <c r="Z200">
        <f t="shared" si="132"/>
        <v>0</v>
      </c>
      <c r="BN200">
        <f t="shared" si="127"/>
        <v>0</v>
      </c>
      <c r="BO200">
        <f t="shared" si="128"/>
        <v>0</v>
      </c>
      <c r="BP200">
        <f t="shared" si="129"/>
        <v>0</v>
      </c>
      <c r="BQ200">
        <f t="shared" si="130"/>
        <v>0</v>
      </c>
      <c r="BU200" s="8"/>
      <c r="BZ200" s="8"/>
      <c r="CD200" s="8"/>
    </row>
    <row r="201" spans="2:82" ht="15.75">
      <c r="B201" t="s">
        <v>250</v>
      </c>
      <c r="C201" t="s">
        <v>251</v>
      </c>
      <c r="D201" t="s">
        <v>68</v>
      </c>
      <c r="Y201">
        <f t="shared" si="131"/>
        <v>0</v>
      </c>
      <c r="Z201">
        <f t="shared" si="132"/>
        <v>0</v>
      </c>
      <c r="BN201">
        <f t="shared" si="127"/>
        <v>0</v>
      </c>
      <c r="BO201">
        <f t="shared" si="128"/>
        <v>0</v>
      </c>
      <c r="BP201">
        <f t="shared" si="129"/>
        <v>0</v>
      </c>
      <c r="BQ201">
        <f t="shared" si="130"/>
        <v>0</v>
      </c>
      <c r="BU201" s="8"/>
      <c r="BZ201" s="8"/>
      <c r="CD201" s="8"/>
    </row>
    <row r="202" spans="4:82" ht="15.75">
      <c r="D202" t="s">
        <v>70</v>
      </c>
      <c r="Y202">
        <f t="shared" si="131"/>
        <v>0</v>
      </c>
      <c r="Z202">
        <f t="shared" si="132"/>
        <v>0</v>
      </c>
      <c r="BN202">
        <f t="shared" si="127"/>
        <v>0</v>
      </c>
      <c r="BO202">
        <f t="shared" si="128"/>
        <v>0</v>
      </c>
      <c r="BP202">
        <f t="shared" si="129"/>
        <v>0</v>
      </c>
      <c r="BQ202">
        <f t="shared" si="130"/>
        <v>0</v>
      </c>
      <c r="BU202" s="8"/>
      <c r="BZ202" s="8"/>
      <c r="CD202" s="8"/>
    </row>
    <row r="203" spans="1:82" ht="15.75">
      <c r="A203" s="15" t="s">
        <v>252</v>
      </c>
      <c r="B203" t="s">
        <v>253</v>
      </c>
      <c r="C203" t="s">
        <v>254</v>
      </c>
      <c r="D203" t="s">
        <v>68</v>
      </c>
      <c r="Y203">
        <f t="shared" si="131"/>
        <v>0</v>
      </c>
      <c r="Z203">
        <f t="shared" si="132"/>
        <v>0</v>
      </c>
      <c r="BN203">
        <f t="shared" si="127"/>
        <v>0</v>
      </c>
      <c r="BO203">
        <f t="shared" si="128"/>
        <v>0</v>
      </c>
      <c r="BP203">
        <f t="shared" si="129"/>
        <v>0</v>
      </c>
      <c r="BQ203">
        <f t="shared" si="130"/>
        <v>0</v>
      </c>
      <c r="BU203" s="8"/>
      <c r="BZ203" s="8"/>
      <c r="CD203" s="8"/>
    </row>
    <row r="204" spans="4:82" ht="15.75">
      <c r="D204" t="s">
        <v>70</v>
      </c>
      <c r="Y204">
        <f t="shared" si="131"/>
        <v>0</v>
      </c>
      <c r="Z204">
        <f t="shared" si="132"/>
        <v>0</v>
      </c>
      <c r="BN204">
        <f t="shared" si="127"/>
        <v>0</v>
      </c>
      <c r="BO204">
        <f t="shared" si="128"/>
        <v>0</v>
      </c>
      <c r="BP204">
        <f t="shared" si="129"/>
        <v>0</v>
      </c>
      <c r="BQ204">
        <f t="shared" si="130"/>
        <v>0</v>
      </c>
      <c r="BU204" s="8"/>
      <c r="BZ204" s="8"/>
      <c r="CD204" s="8"/>
    </row>
    <row r="205" spans="2:82" ht="15.75">
      <c r="B205" t="s">
        <v>255</v>
      </c>
      <c r="C205" t="s">
        <v>256</v>
      </c>
      <c r="D205" t="s">
        <v>68</v>
      </c>
      <c r="Y205">
        <f t="shared" si="131"/>
        <v>0</v>
      </c>
      <c r="Z205">
        <f t="shared" si="132"/>
        <v>0</v>
      </c>
      <c r="BN205">
        <f t="shared" si="127"/>
        <v>0</v>
      </c>
      <c r="BO205">
        <f t="shared" si="128"/>
        <v>0</v>
      </c>
      <c r="BP205">
        <f t="shared" si="129"/>
        <v>0</v>
      </c>
      <c r="BQ205">
        <f t="shared" si="130"/>
        <v>0</v>
      </c>
      <c r="BU205" s="8"/>
      <c r="BZ205" s="8"/>
      <c r="CD205" s="8"/>
    </row>
    <row r="206" spans="4:82" ht="15.75">
      <c r="D206" t="s">
        <v>70</v>
      </c>
      <c r="BN206">
        <f t="shared" si="127"/>
        <v>0</v>
      </c>
      <c r="BO206">
        <f t="shared" si="128"/>
        <v>0</v>
      </c>
      <c r="BP206">
        <f t="shared" si="129"/>
        <v>0</v>
      </c>
      <c r="BQ206">
        <f t="shared" si="130"/>
        <v>0</v>
      </c>
      <c r="BU206" s="8"/>
      <c r="BZ206" s="8"/>
      <c r="CD206" s="8"/>
    </row>
    <row r="207" spans="1:82" ht="15.75">
      <c r="A207" s="15" t="s">
        <v>257</v>
      </c>
      <c r="B207" t="s">
        <v>258</v>
      </c>
      <c r="C207" t="s">
        <v>259</v>
      </c>
      <c r="D207" t="s">
        <v>68</v>
      </c>
      <c r="BN207">
        <f t="shared" si="127"/>
        <v>0</v>
      </c>
      <c r="BO207">
        <f t="shared" si="128"/>
        <v>0</v>
      </c>
      <c r="BP207">
        <f t="shared" si="129"/>
        <v>0</v>
      </c>
      <c r="BQ207">
        <f t="shared" si="130"/>
        <v>0</v>
      </c>
      <c r="BU207" s="8"/>
      <c r="BZ207" s="8"/>
      <c r="CD207" s="8"/>
    </row>
    <row r="208" spans="4:82" ht="15.75">
      <c r="D208" t="s">
        <v>70</v>
      </c>
      <c r="BN208">
        <f t="shared" si="127"/>
        <v>0</v>
      </c>
      <c r="BO208">
        <f t="shared" si="128"/>
        <v>0</v>
      </c>
      <c r="BP208">
        <f t="shared" si="129"/>
        <v>0</v>
      </c>
      <c r="BQ208">
        <f t="shared" si="130"/>
        <v>0</v>
      </c>
      <c r="BU208" s="8"/>
      <c r="BZ208" s="8"/>
      <c r="CD208" s="8"/>
    </row>
    <row r="209" spans="1:82" ht="15.75">
      <c r="A209" s="15" t="s">
        <v>260</v>
      </c>
      <c r="B209" t="s">
        <v>261</v>
      </c>
      <c r="C209" t="s">
        <v>262</v>
      </c>
      <c r="D209" t="s">
        <v>68</v>
      </c>
      <c r="BN209">
        <f t="shared" si="127"/>
        <v>0</v>
      </c>
      <c r="BO209">
        <f t="shared" si="128"/>
        <v>0</v>
      </c>
      <c r="BP209">
        <f t="shared" si="129"/>
        <v>0</v>
      </c>
      <c r="BQ209">
        <f t="shared" si="130"/>
        <v>0</v>
      </c>
      <c r="BU209" s="8"/>
      <c r="BZ209" s="8"/>
      <c r="CD209" s="8"/>
    </row>
    <row r="210" spans="4:82" ht="15.75">
      <c r="D210" t="s">
        <v>70</v>
      </c>
      <c r="BN210">
        <f t="shared" si="127"/>
        <v>0</v>
      </c>
      <c r="BO210">
        <f t="shared" si="128"/>
        <v>0</v>
      </c>
      <c r="BP210">
        <f t="shared" si="129"/>
        <v>0</v>
      </c>
      <c r="BQ210">
        <f t="shared" si="130"/>
        <v>0</v>
      </c>
      <c r="BU210" s="8"/>
      <c r="BZ210" s="8"/>
      <c r="CD210" s="8"/>
    </row>
    <row r="211" spans="2:82" ht="15.75">
      <c r="B211" t="s">
        <v>263</v>
      </c>
      <c r="C211" t="s">
        <v>264</v>
      </c>
      <c r="D211" t="s">
        <v>68</v>
      </c>
      <c r="BN211">
        <f t="shared" si="127"/>
        <v>0</v>
      </c>
      <c r="BO211">
        <f t="shared" si="128"/>
        <v>0</v>
      </c>
      <c r="BP211">
        <f t="shared" si="129"/>
        <v>0</v>
      </c>
      <c r="BQ211">
        <f t="shared" si="130"/>
        <v>0</v>
      </c>
      <c r="BU211" s="8"/>
      <c r="BZ211" s="8"/>
      <c r="CD211" s="8"/>
    </row>
    <row r="212" spans="4:82" ht="15.75">
      <c r="D212" t="s">
        <v>70</v>
      </c>
      <c r="BN212">
        <f t="shared" si="127"/>
        <v>0</v>
      </c>
      <c r="BO212">
        <f t="shared" si="128"/>
        <v>0</v>
      </c>
      <c r="BP212">
        <f t="shared" si="129"/>
        <v>0</v>
      </c>
      <c r="BQ212">
        <f t="shared" si="130"/>
        <v>0</v>
      </c>
      <c r="BU212" s="8"/>
      <c r="BZ212" s="8"/>
      <c r="CD212" s="8"/>
    </row>
    <row r="213" spans="2:82" ht="15.75">
      <c r="B213" t="s">
        <v>265</v>
      </c>
      <c r="C213" t="s">
        <v>266</v>
      </c>
      <c r="D213" t="s">
        <v>68</v>
      </c>
      <c r="BN213">
        <f t="shared" si="127"/>
        <v>0</v>
      </c>
      <c r="BO213">
        <f t="shared" si="128"/>
        <v>0</v>
      </c>
      <c r="BP213">
        <f t="shared" si="129"/>
        <v>0</v>
      </c>
      <c r="BQ213">
        <f t="shared" si="130"/>
        <v>0</v>
      </c>
      <c r="BU213" s="8"/>
      <c r="BZ213" s="8"/>
      <c r="CD213" s="8"/>
    </row>
    <row r="214" spans="4:82" ht="15.75">
      <c r="D214" t="s">
        <v>70</v>
      </c>
      <c r="BN214">
        <f t="shared" si="127"/>
        <v>0</v>
      </c>
      <c r="BO214">
        <f t="shared" si="128"/>
        <v>0</v>
      </c>
      <c r="BP214">
        <f t="shared" si="129"/>
        <v>0</v>
      </c>
      <c r="BQ214">
        <f t="shared" si="130"/>
        <v>0</v>
      </c>
      <c r="BU214" s="8"/>
      <c r="BZ214" s="8"/>
      <c r="CD214" s="8"/>
    </row>
    <row r="215" spans="2:82" ht="15.75">
      <c r="B215" t="s">
        <v>267</v>
      </c>
      <c r="C215" t="s">
        <v>268</v>
      </c>
      <c r="D215" t="s">
        <v>68</v>
      </c>
      <c r="BN215">
        <f t="shared" si="127"/>
        <v>0</v>
      </c>
      <c r="BO215">
        <f t="shared" si="128"/>
        <v>0</v>
      </c>
      <c r="BP215">
        <f t="shared" si="129"/>
        <v>0</v>
      </c>
      <c r="BQ215">
        <f t="shared" si="130"/>
        <v>0</v>
      </c>
      <c r="BU215" s="8"/>
      <c r="BZ215" s="8"/>
      <c r="CD215" s="8"/>
    </row>
    <row r="216" spans="4:82" ht="15.75">
      <c r="D216" t="s">
        <v>70</v>
      </c>
      <c r="BN216">
        <f t="shared" si="127"/>
        <v>0</v>
      </c>
      <c r="BO216">
        <f t="shared" si="128"/>
        <v>0</v>
      </c>
      <c r="BP216">
        <f t="shared" si="129"/>
        <v>0</v>
      </c>
      <c r="BQ216">
        <f t="shared" si="130"/>
        <v>0</v>
      </c>
      <c r="BU216" s="8"/>
      <c r="BZ216" s="8"/>
      <c r="CD216" s="8"/>
    </row>
    <row r="217" spans="2:82" ht="15.75">
      <c r="B217" t="s">
        <v>269</v>
      </c>
      <c r="C217" t="s">
        <v>270</v>
      </c>
      <c r="D217" t="s">
        <v>68</v>
      </c>
      <c r="BN217">
        <f t="shared" si="127"/>
        <v>0</v>
      </c>
      <c r="BO217">
        <f t="shared" si="128"/>
        <v>0</v>
      </c>
      <c r="BP217">
        <f t="shared" si="129"/>
        <v>0</v>
      </c>
      <c r="BQ217">
        <f t="shared" si="130"/>
        <v>0</v>
      </c>
      <c r="BU217" s="8"/>
      <c r="BZ217" s="8"/>
      <c r="CD217" s="8"/>
    </row>
    <row r="218" spans="4:82" ht="15.75">
      <c r="D218" t="s">
        <v>70</v>
      </c>
      <c r="BN218">
        <f t="shared" si="127"/>
        <v>0</v>
      </c>
      <c r="BO218">
        <f t="shared" si="128"/>
        <v>0</v>
      </c>
      <c r="BP218">
        <f t="shared" si="129"/>
        <v>0</v>
      </c>
      <c r="BQ218">
        <f t="shared" si="130"/>
        <v>0</v>
      </c>
      <c r="BU218" s="8"/>
      <c r="BZ218" s="8"/>
      <c r="CD218" s="8"/>
    </row>
    <row r="219" spans="1:82" ht="15.75">
      <c r="A219" s="15" t="s">
        <v>271</v>
      </c>
      <c r="B219" t="s">
        <v>272</v>
      </c>
      <c r="C219" t="s">
        <v>273</v>
      </c>
      <c r="D219" t="s">
        <v>68</v>
      </c>
      <c r="BU219" s="8"/>
      <c r="BZ219" s="8"/>
      <c r="CD219" s="8"/>
    </row>
    <row r="220" spans="4:82" ht="15.75">
      <c r="D220" t="s">
        <v>70</v>
      </c>
      <c r="BU220" s="8"/>
      <c r="BZ220" s="8"/>
      <c r="CD220" s="8"/>
    </row>
    <row r="221" spans="2:82" ht="15.75">
      <c r="B221" t="s">
        <v>274</v>
      </c>
      <c r="C221" t="s">
        <v>275</v>
      </c>
      <c r="D221" t="s">
        <v>68</v>
      </c>
      <c r="BU221" s="8"/>
      <c r="BZ221" s="8"/>
      <c r="CD221" s="8"/>
    </row>
    <row r="222" spans="4:82" ht="15.75">
      <c r="D222" t="s">
        <v>70</v>
      </c>
      <c r="BU222" s="8"/>
      <c r="BZ222" s="8"/>
      <c r="CD222" s="8"/>
    </row>
    <row r="223" spans="2:82" ht="15.75">
      <c r="B223" t="s">
        <v>276</v>
      </c>
      <c r="C223" t="s">
        <v>277</v>
      </c>
      <c r="D223" t="s">
        <v>68</v>
      </c>
      <c r="BU223" s="8"/>
      <c r="BZ223" s="8"/>
      <c r="CD223" s="8"/>
    </row>
    <row r="224" spans="4:82" ht="15.75">
      <c r="D224" t="s">
        <v>70</v>
      </c>
      <c r="BU224" s="8"/>
      <c r="BZ224" s="8"/>
      <c r="CD224" s="8"/>
    </row>
    <row r="225" spans="1:82" ht="15.75">
      <c r="A225" s="15" t="s">
        <v>278</v>
      </c>
      <c r="B225" t="s">
        <v>279</v>
      </c>
      <c r="C225" t="s">
        <v>280</v>
      </c>
      <c r="D225" t="s">
        <v>68</v>
      </c>
      <c r="BU225" s="8"/>
      <c r="BZ225" s="8"/>
      <c r="CD225" s="8"/>
    </row>
    <row r="226" spans="4:82" ht="15.75">
      <c r="D226" t="s">
        <v>70</v>
      </c>
      <c r="BU226" s="8"/>
      <c r="BZ226" s="8"/>
      <c r="CD226" s="8"/>
    </row>
    <row r="227" spans="73:82" ht="15.75">
      <c r="BU227" s="8"/>
      <c r="BZ227" s="8"/>
      <c r="CD227" s="8"/>
    </row>
    <row r="228" spans="73:82" ht="15.75">
      <c r="BU228" s="8"/>
      <c r="BZ228" s="8"/>
      <c r="CD228" s="8"/>
    </row>
    <row r="229" spans="73:82" ht="15.75">
      <c r="BU229" s="8"/>
      <c r="BZ229" s="8"/>
      <c r="CD229" s="8"/>
    </row>
    <row r="230" spans="73:82" ht="15.75">
      <c r="BU230" s="8"/>
      <c r="BZ230" s="8"/>
      <c r="CD230" s="8"/>
    </row>
    <row r="231" spans="73:82" ht="15.75">
      <c r="BU231" s="8"/>
      <c r="BZ231" s="8"/>
      <c r="CD231" s="8"/>
    </row>
    <row r="232" spans="73:82" ht="15.75">
      <c r="BU232" s="8"/>
      <c r="BZ232" s="8"/>
      <c r="CD232" s="8"/>
    </row>
    <row r="233" spans="73:82" ht="15.75">
      <c r="BU233" s="8"/>
      <c r="BZ233" s="8"/>
      <c r="CD233" s="8"/>
    </row>
    <row r="234" spans="73:82" ht="15.75">
      <c r="BU234" s="8"/>
      <c r="BZ234" s="8"/>
      <c r="CD234" s="8"/>
    </row>
    <row r="235" spans="73:82" ht="15.75">
      <c r="BU235" s="8"/>
      <c r="BZ235" s="8"/>
      <c r="CD235" s="8"/>
    </row>
    <row r="236" spans="73:82" ht="15.75">
      <c r="BU236" s="8"/>
      <c r="BZ236" s="8"/>
      <c r="CD236" s="8"/>
    </row>
    <row r="237" spans="73:82" ht="15.75">
      <c r="BU237" s="8"/>
      <c r="BZ237" s="8"/>
      <c r="CD237" s="8"/>
    </row>
    <row r="238" spans="73:82" ht="15.75">
      <c r="BU238" s="8"/>
      <c r="BZ238" s="8"/>
      <c r="CD238" s="8"/>
    </row>
    <row r="239" spans="73:82" ht="15.75">
      <c r="BU239" s="8"/>
      <c r="BZ239" s="8"/>
      <c r="CD239" s="8"/>
    </row>
    <row r="240" spans="73:82" ht="15.75">
      <c r="BU240" s="8"/>
      <c r="BZ240" s="8"/>
      <c r="CD240" s="8"/>
    </row>
    <row r="241" spans="73:82" ht="15.75">
      <c r="BU241" s="8"/>
      <c r="BZ241" s="8"/>
      <c r="CD241" s="8"/>
    </row>
    <row r="242" spans="73:82" ht="15.75">
      <c r="BU242" s="8"/>
      <c r="BZ242" s="8"/>
      <c r="CD242" s="8"/>
    </row>
    <row r="243" spans="73:82" ht="15.75">
      <c r="BU243" s="8"/>
      <c r="BZ243" s="8"/>
      <c r="CD243" s="8"/>
    </row>
    <row r="244" spans="73:82" ht="15.75">
      <c r="BU244" s="8"/>
      <c r="BZ244" s="8"/>
      <c r="CD244" s="8"/>
    </row>
    <row r="245" spans="73:82" ht="15.75">
      <c r="BU245" s="8"/>
      <c r="BZ245" s="8"/>
      <c r="CD245" s="8"/>
    </row>
    <row r="246" spans="73:82" ht="15.75">
      <c r="BU246" s="8"/>
      <c r="BZ246" s="8"/>
      <c r="CD246" s="8"/>
    </row>
    <row r="247" spans="73:82" ht="15.75">
      <c r="BU247" s="8"/>
      <c r="BZ247" s="8"/>
      <c r="CD247" s="8"/>
    </row>
    <row r="248" spans="73:82" ht="15.75">
      <c r="BU248" s="8"/>
      <c r="BZ248" s="8"/>
      <c r="CD248" s="8"/>
    </row>
    <row r="249" spans="73:82" ht="15.75">
      <c r="BU249" s="8"/>
      <c r="BZ249" s="8"/>
      <c r="CD249" s="8"/>
    </row>
    <row r="250" spans="73:82" ht="15.75">
      <c r="BU250" s="8"/>
      <c r="BZ250" s="8"/>
      <c r="CD250" s="8"/>
    </row>
    <row r="251" spans="73:82" ht="15.75">
      <c r="BU251" s="8"/>
      <c r="BZ251" s="8"/>
      <c r="CD251" s="8"/>
    </row>
    <row r="252" spans="73:82" ht="15.75">
      <c r="BU252" s="8"/>
      <c r="BZ252" s="8"/>
      <c r="CD252" s="8"/>
    </row>
    <row r="253" spans="73:82" ht="15.75">
      <c r="BU253" s="8"/>
      <c r="BZ253" s="8"/>
      <c r="CD253" s="8"/>
    </row>
    <row r="254" spans="73:82" ht="15.75">
      <c r="BU254" s="8"/>
      <c r="BZ254" s="8"/>
      <c r="CD254" s="8"/>
    </row>
    <row r="255" spans="73:82" ht="15.75">
      <c r="BU255" s="8"/>
      <c r="BZ255" s="8"/>
      <c r="CD255" s="8"/>
    </row>
    <row r="256" spans="73:82" ht="15.75">
      <c r="BU256" s="8"/>
      <c r="BZ256" s="8"/>
      <c r="CD256" s="8"/>
    </row>
    <row r="257" spans="73:82" ht="15.75">
      <c r="BU257" s="8"/>
      <c r="BZ257" s="8"/>
      <c r="CD257" s="8"/>
    </row>
    <row r="258" spans="73:82" ht="15.75">
      <c r="BU258" s="8"/>
      <c r="BZ258" s="8"/>
      <c r="CD258" s="8"/>
    </row>
    <row r="259" spans="73:82" ht="15.75">
      <c r="BU259" s="8"/>
      <c r="BZ259" s="8"/>
      <c r="CD259" s="8"/>
    </row>
    <row r="260" spans="73:82" ht="15.75">
      <c r="BU260" s="8"/>
      <c r="BZ260" s="8"/>
      <c r="CD260" s="8"/>
    </row>
    <row r="261" spans="73:82" ht="15.75">
      <c r="BU261" s="8"/>
      <c r="BZ261" s="8"/>
      <c r="CD261" s="8"/>
    </row>
    <row r="262" spans="73:82" ht="15.75">
      <c r="BU262" s="8"/>
      <c r="BZ262" s="8"/>
      <c r="CD262" s="8"/>
    </row>
    <row r="263" spans="73:82" ht="15.75">
      <c r="BU263" s="8"/>
      <c r="BZ263" s="8"/>
      <c r="CD263" s="8"/>
    </row>
    <row r="264" spans="73:82" ht="15.75">
      <c r="BU264" s="8"/>
      <c r="BZ264" s="8"/>
      <c r="CD264" s="8"/>
    </row>
    <row r="265" spans="73:82" ht="15.75">
      <c r="BU265" s="8"/>
      <c r="BZ265" s="8"/>
      <c r="CD265" s="8"/>
    </row>
    <row r="266" spans="73:82" ht="15.75">
      <c r="BU266" s="8"/>
      <c r="BZ266" s="8"/>
      <c r="CD266" s="8"/>
    </row>
    <row r="267" spans="73:82" ht="15.75">
      <c r="BU267" s="8"/>
      <c r="BZ267" s="8"/>
      <c r="CD267" s="8"/>
    </row>
    <row r="268" spans="73:82" ht="15.75">
      <c r="BU268" s="8"/>
      <c r="BZ268" s="8"/>
      <c r="CD268" s="8"/>
    </row>
    <row r="269" spans="73:82" ht="15.75">
      <c r="BU269" s="8"/>
      <c r="BZ269" s="8"/>
      <c r="CD269" s="8"/>
    </row>
    <row r="270" spans="73:82" ht="15.75">
      <c r="BU270" s="8"/>
      <c r="BZ270" s="8"/>
      <c r="CD270" s="8"/>
    </row>
    <row r="271" spans="73:82" ht="15.75">
      <c r="BU271" s="8"/>
      <c r="BZ271" s="8"/>
      <c r="CD271" s="8"/>
    </row>
    <row r="272" spans="73:82" ht="15.75">
      <c r="BU272" s="8"/>
      <c r="BZ272" s="8"/>
      <c r="CD272" s="8"/>
    </row>
    <row r="273" spans="73:82" ht="15.75">
      <c r="BU273" s="8"/>
      <c r="BZ273" s="8"/>
      <c r="CD273" s="8"/>
    </row>
    <row r="274" spans="73:82" ht="15.75">
      <c r="BU274" s="8"/>
      <c r="BZ274" s="8"/>
      <c r="CD274" s="8"/>
    </row>
    <row r="275" spans="73:82" ht="15.75">
      <c r="BU275" s="8"/>
      <c r="BZ275" s="8"/>
      <c r="CD275" s="8"/>
    </row>
    <row r="276" spans="73:82" ht="15.75">
      <c r="BU276" s="8"/>
      <c r="BZ276" s="8"/>
      <c r="CD276" s="8"/>
    </row>
    <row r="277" spans="73:82" ht="15.75">
      <c r="BU277" s="8"/>
      <c r="BZ277" s="8"/>
      <c r="CD277" s="8"/>
    </row>
    <row r="278" spans="73:82" ht="15.75">
      <c r="BU278" s="8"/>
      <c r="BZ278" s="8"/>
      <c r="CD278" s="8"/>
    </row>
    <row r="279" spans="73:82" ht="15.75">
      <c r="BU279" s="8"/>
      <c r="BZ279" s="8"/>
      <c r="CD279" s="8"/>
    </row>
    <row r="280" spans="73:82" ht="15.75">
      <c r="BU280" s="8"/>
      <c r="BZ280" s="8"/>
      <c r="CD280" s="8"/>
    </row>
    <row r="281" spans="73:82" ht="15.75">
      <c r="BU281" s="8"/>
      <c r="BZ281" s="8"/>
      <c r="CD281" s="8"/>
    </row>
    <row r="282" spans="73:82" ht="15.75">
      <c r="BU282" s="8"/>
      <c r="BZ282" s="8"/>
      <c r="CD282" s="8"/>
    </row>
    <row r="283" spans="73:82" ht="15.75">
      <c r="BU283" s="8"/>
      <c r="BZ283" s="8"/>
      <c r="CD283" s="8"/>
    </row>
    <row r="284" spans="73:82" ht="15.75">
      <c r="BU284" s="8"/>
      <c r="BZ284" s="8"/>
      <c r="CD284" s="8"/>
    </row>
    <row r="285" spans="73:82" ht="15.75">
      <c r="BU285" s="8"/>
      <c r="BZ285" s="8"/>
      <c r="CD285" s="8"/>
    </row>
    <row r="286" spans="73:82" ht="15.75">
      <c r="BU286" s="8"/>
      <c r="BZ286" s="8"/>
      <c r="CD286" s="8"/>
    </row>
    <row r="287" spans="73:82" ht="15.75">
      <c r="BU287" s="8"/>
      <c r="BZ287" s="8"/>
      <c r="CD287" s="8"/>
    </row>
    <row r="288" spans="73:82" ht="15.75">
      <c r="BU288" s="8"/>
      <c r="BZ288" s="8"/>
      <c r="CD288" s="8"/>
    </row>
    <row r="289" spans="73:82" ht="15.75">
      <c r="BU289" s="8"/>
      <c r="BZ289" s="8"/>
      <c r="CD289" s="8"/>
    </row>
    <row r="290" spans="73:82" ht="15.75">
      <c r="BU290" s="8"/>
      <c r="BZ290" s="8"/>
      <c r="CD290" s="8"/>
    </row>
    <row r="291" spans="73:82" ht="15.75">
      <c r="BU291" s="8"/>
      <c r="BZ291" s="8"/>
      <c r="CD291" s="8"/>
    </row>
    <row r="292" spans="73:82" ht="15.75">
      <c r="BU292" s="8"/>
      <c r="BZ292" s="8"/>
      <c r="CD292" s="8"/>
    </row>
    <row r="293" spans="73:82" ht="15.75">
      <c r="BU293" s="8"/>
      <c r="BZ293" s="8"/>
      <c r="CD293" s="8"/>
    </row>
    <row r="294" spans="73:82" ht="15.75">
      <c r="BU294" s="8"/>
      <c r="BZ294" s="8"/>
      <c r="CD294" s="8"/>
    </row>
    <row r="295" spans="73:82" ht="15.75">
      <c r="BU295" s="8"/>
      <c r="BZ295" s="8"/>
      <c r="CD295" s="8"/>
    </row>
    <row r="296" spans="73:82" ht="15.75">
      <c r="BU296" s="8"/>
      <c r="BZ296" s="8"/>
      <c r="CD296" s="8"/>
    </row>
    <row r="297" spans="73:82" ht="15.75">
      <c r="BU297" s="8"/>
      <c r="BZ297" s="8"/>
      <c r="CD297" s="8"/>
    </row>
    <row r="298" spans="73:82" ht="15.75">
      <c r="BU298" s="8"/>
      <c r="BZ298" s="8"/>
      <c r="CD298" s="8"/>
    </row>
    <row r="299" spans="73:82" ht="15.75">
      <c r="BU299" s="8"/>
      <c r="BZ299" s="8"/>
      <c r="CD299" s="8"/>
    </row>
    <row r="300" spans="73:82" ht="15.75">
      <c r="BU300" s="8"/>
      <c r="BZ300" s="8"/>
      <c r="CD300" s="8"/>
    </row>
    <row r="301" spans="73:82" ht="15.75">
      <c r="BU301" s="8"/>
      <c r="BZ301" s="8"/>
      <c r="CD301" s="8"/>
    </row>
    <row r="302" spans="73:82" ht="15.75">
      <c r="BU302" s="8"/>
      <c r="BZ302" s="8"/>
      <c r="CD302" s="8"/>
    </row>
    <row r="303" spans="73:82" ht="15.75">
      <c r="BU303" s="8"/>
      <c r="BZ303" s="8"/>
      <c r="CD303" s="8"/>
    </row>
    <row r="304" spans="73:82" ht="15.75">
      <c r="BU304" s="8"/>
      <c r="BZ304" s="8"/>
      <c r="CD304" s="8"/>
    </row>
    <row r="305" spans="73:82" ht="15.75">
      <c r="BU305" s="8"/>
      <c r="BZ305" s="8"/>
      <c r="CD305" s="8"/>
    </row>
    <row r="306" spans="73:82" ht="15.75">
      <c r="BU306" s="8"/>
      <c r="BZ306" s="8"/>
      <c r="CD306" s="8"/>
    </row>
    <row r="307" spans="73:82" ht="15.75">
      <c r="BU307" s="8"/>
      <c r="BZ307" s="8"/>
      <c r="CD307" s="8"/>
    </row>
    <row r="308" spans="73:82" ht="15.75">
      <c r="BU308" s="8"/>
      <c r="BZ308" s="8"/>
      <c r="CD308" s="8"/>
    </row>
    <row r="309" spans="73:82" ht="15.75">
      <c r="BU309" s="8"/>
      <c r="BZ309" s="8"/>
      <c r="CD309" s="8"/>
    </row>
    <row r="310" spans="73:82" ht="15.75">
      <c r="BU310" s="8"/>
      <c r="BZ310" s="8"/>
      <c r="CD310" s="8"/>
    </row>
    <row r="311" spans="73:82" ht="15.75">
      <c r="BU311" s="8"/>
      <c r="BZ311" s="8"/>
      <c r="CD311" s="8"/>
    </row>
    <row r="312" spans="73:82" ht="15.75">
      <c r="BU312" s="8"/>
      <c r="BZ312" s="8"/>
      <c r="CD312" s="8"/>
    </row>
    <row r="313" spans="73:82" ht="15.75">
      <c r="BU313" s="8"/>
      <c r="BZ313" s="8"/>
      <c r="CD313" s="8"/>
    </row>
    <row r="314" spans="73:82" ht="15.75">
      <c r="BU314" s="8"/>
      <c r="BZ314" s="8"/>
      <c r="CD314" s="8"/>
    </row>
    <row r="315" spans="73:82" ht="15.75">
      <c r="BU315" s="8"/>
      <c r="BZ315" s="8"/>
      <c r="CD315" s="8"/>
    </row>
    <row r="316" spans="73:82" ht="15.75">
      <c r="BU316" s="8"/>
      <c r="BZ316" s="8"/>
      <c r="CD316" s="8"/>
    </row>
    <row r="317" spans="73:82" ht="15.75">
      <c r="BU317" s="8"/>
      <c r="BZ317" s="8"/>
      <c r="CD317" s="8"/>
    </row>
    <row r="318" spans="73:82" ht="15.75">
      <c r="BU318" s="8"/>
      <c r="BZ318" s="8"/>
      <c r="CD318" s="8"/>
    </row>
    <row r="319" spans="73:82" ht="15.75">
      <c r="BU319" s="8"/>
      <c r="BZ319" s="8"/>
      <c r="CD319" s="8"/>
    </row>
    <row r="320" spans="73:82" ht="15.75">
      <c r="BU320" s="8"/>
      <c r="BZ320" s="8"/>
      <c r="CD320" s="8"/>
    </row>
    <row r="321" spans="73:82" ht="15.75">
      <c r="BU321" s="8"/>
      <c r="BZ321" s="8"/>
      <c r="CD321" s="8"/>
    </row>
    <row r="322" spans="73:82" ht="15.75">
      <c r="BU322" s="8"/>
      <c r="BZ322" s="8"/>
      <c r="CD322" s="8"/>
    </row>
    <row r="323" spans="73:82" ht="15.75">
      <c r="BU323" s="8"/>
      <c r="BZ323" s="8"/>
      <c r="CD323" s="8"/>
    </row>
    <row r="324" spans="73:82" ht="15.75">
      <c r="BU324" s="8"/>
      <c r="BZ324" s="8"/>
      <c r="CD324" s="8"/>
    </row>
    <row r="325" spans="73:82" ht="15.75">
      <c r="BU325" s="8"/>
      <c r="BZ325" s="8"/>
      <c r="CD325" s="8"/>
    </row>
    <row r="326" spans="73:82" ht="15.75">
      <c r="BU326" s="8"/>
      <c r="BZ326" s="8"/>
      <c r="CD326" s="8"/>
    </row>
    <row r="327" spans="73:82" ht="15.75">
      <c r="BU327" s="8"/>
      <c r="BZ327" s="8"/>
      <c r="CD327" s="8"/>
    </row>
    <row r="328" spans="73:82" ht="15.75">
      <c r="BU328" s="8"/>
      <c r="BZ328" s="8"/>
      <c r="CD328" s="8"/>
    </row>
    <row r="329" spans="73:82" ht="15.75">
      <c r="BU329" s="8"/>
      <c r="BZ329" s="8"/>
      <c r="CD329" s="8"/>
    </row>
    <row r="330" spans="73:82" ht="15.75">
      <c r="BU330" s="8"/>
      <c r="BZ330" s="8"/>
      <c r="CD330" s="8"/>
    </row>
    <row r="331" spans="73:82" ht="15.75">
      <c r="BU331" s="8"/>
      <c r="BZ331" s="8"/>
      <c r="CD331" s="8"/>
    </row>
    <row r="332" spans="73:82" ht="15.75">
      <c r="BU332" s="8"/>
      <c r="BZ332" s="8"/>
      <c r="CD332" s="8"/>
    </row>
    <row r="333" spans="73:82" ht="15.75">
      <c r="BU333" s="8"/>
      <c r="BZ333" s="8"/>
      <c r="CD333" s="8"/>
    </row>
    <row r="334" spans="73:82" ht="15.75">
      <c r="BU334" s="8"/>
      <c r="BZ334" s="8"/>
      <c r="CD334" s="8"/>
    </row>
    <row r="335" spans="73:82" ht="15.75">
      <c r="BU335" s="8"/>
      <c r="BZ335" s="8"/>
      <c r="CD335" s="8"/>
    </row>
    <row r="336" spans="73:82" ht="15.75">
      <c r="BU336" s="8"/>
      <c r="BZ336" s="8"/>
      <c r="CD336" s="8"/>
    </row>
    <row r="337" spans="73:82" ht="15.75">
      <c r="BU337" s="8"/>
      <c r="BZ337" s="8"/>
      <c r="CD337" s="8"/>
    </row>
    <row r="338" spans="73:82" ht="15.75">
      <c r="BU338" s="8"/>
      <c r="BZ338" s="8"/>
      <c r="CD338" s="8"/>
    </row>
    <row r="339" spans="73:82" ht="15.75">
      <c r="BU339" s="8"/>
      <c r="BZ339" s="8"/>
      <c r="CD339" s="8"/>
    </row>
    <row r="340" spans="73:82" ht="15.75">
      <c r="BU340" s="8"/>
      <c r="BZ340" s="8"/>
      <c r="CD340" s="8"/>
    </row>
    <row r="341" spans="73:82" ht="15.75">
      <c r="BU341" s="8"/>
      <c r="BZ341" s="8"/>
      <c r="CD341" s="8"/>
    </row>
    <row r="342" spans="73:82" ht="15.75">
      <c r="BU342" s="8"/>
      <c r="BZ342" s="8"/>
      <c r="CD342" s="8"/>
    </row>
    <row r="343" spans="73:82" ht="15.75">
      <c r="BU343" s="8"/>
      <c r="BZ343" s="8"/>
      <c r="CD343" s="8"/>
    </row>
    <row r="344" spans="73:82" ht="15.75">
      <c r="BU344" s="8"/>
      <c r="BZ344" s="8"/>
      <c r="CD344" s="8"/>
    </row>
    <row r="345" spans="73:82" ht="15.75">
      <c r="BU345" s="8"/>
      <c r="BZ345" s="8"/>
      <c r="CD345" s="8"/>
    </row>
    <row r="346" spans="73:82" ht="15.75">
      <c r="BU346" s="8"/>
      <c r="BZ346" s="8"/>
      <c r="CD346" s="8"/>
    </row>
    <row r="347" spans="73:82" ht="15.75">
      <c r="BU347" s="8"/>
      <c r="BZ347" s="8"/>
      <c r="CD347" s="8"/>
    </row>
    <row r="348" spans="73:82" ht="15.75">
      <c r="BU348" s="8"/>
      <c r="BZ348" s="8"/>
      <c r="CD348" s="8"/>
    </row>
    <row r="349" spans="73:82" ht="15.75">
      <c r="BU349" s="8"/>
      <c r="BZ349" s="8"/>
      <c r="CD349" s="8"/>
    </row>
    <row r="350" spans="73:82" ht="15.75">
      <c r="BU350" s="8"/>
      <c r="BZ350" s="8"/>
      <c r="CD350" s="8"/>
    </row>
    <row r="351" spans="73:82" ht="15.75">
      <c r="BU351" s="8"/>
      <c r="BZ351" s="8"/>
      <c r="CD351" s="8"/>
    </row>
    <row r="352" spans="73:82" ht="15.75">
      <c r="BU352" s="8"/>
      <c r="BZ352" s="8"/>
      <c r="CD352" s="8"/>
    </row>
    <row r="353" spans="73:82" ht="15.75">
      <c r="BU353" s="8"/>
      <c r="BZ353" s="8"/>
      <c r="CD353" s="8"/>
    </row>
    <row r="354" spans="73:82" ht="15.75">
      <c r="BU354" s="8"/>
      <c r="BZ354" s="8"/>
      <c r="CD354" s="8"/>
    </row>
    <row r="355" spans="73:82" ht="15.75">
      <c r="BU355" s="8"/>
      <c r="BZ355" s="8"/>
      <c r="CD355" s="8"/>
    </row>
    <row r="356" spans="73:82" ht="15.75">
      <c r="BU356" s="8"/>
      <c r="BZ356" s="8"/>
      <c r="CD356" s="8"/>
    </row>
    <row r="357" spans="73:82" ht="15.75">
      <c r="BU357" s="8"/>
      <c r="BZ357" s="8"/>
      <c r="CD357" s="8"/>
    </row>
    <row r="358" spans="73:82" ht="15.75">
      <c r="BU358" s="8"/>
      <c r="BZ358" s="8"/>
      <c r="CD358" s="8"/>
    </row>
    <row r="359" spans="73:82" ht="15.75">
      <c r="BU359" s="8"/>
      <c r="BZ359" s="8"/>
      <c r="CD359" s="8"/>
    </row>
    <row r="360" spans="73:82" ht="15.75">
      <c r="BU360" s="8"/>
      <c r="BZ360" s="8"/>
      <c r="CD360" s="8"/>
    </row>
    <row r="361" spans="73:82" ht="15.75">
      <c r="BU361" s="8"/>
      <c r="BZ361" s="8"/>
      <c r="CD361" s="8"/>
    </row>
    <row r="362" spans="73:82" ht="15.75">
      <c r="BU362" s="8"/>
      <c r="BZ362" s="8"/>
      <c r="CD362" s="8"/>
    </row>
    <row r="363" spans="73:82" ht="15.75">
      <c r="BU363" s="8"/>
      <c r="BZ363" s="8"/>
      <c r="CD363" s="8"/>
    </row>
    <row r="364" spans="73:82" ht="15.75">
      <c r="BU364" s="8"/>
      <c r="BZ364" s="8"/>
      <c r="CD364" s="8"/>
    </row>
    <row r="365" spans="73:82" ht="15.75">
      <c r="BU365" s="8"/>
      <c r="BZ365" s="8"/>
      <c r="CD365" s="8"/>
    </row>
    <row r="366" spans="73:82" ht="15.75">
      <c r="BU366" s="8"/>
      <c r="BZ366" s="8"/>
      <c r="CD366" s="8"/>
    </row>
    <row r="367" spans="73:82" ht="15.75">
      <c r="BU367" s="8"/>
      <c r="BZ367" s="8"/>
      <c r="CD367" s="8"/>
    </row>
    <row r="368" spans="73:82" ht="15.75">
      <c r="BU368" s="8"/>
      <c r="BZ368" s="8"/>
      <c r="CD368" s="8"/>
    </row>
    <row r="369" spans="73:82" ht="15.75">
      <c r="BU369" s="8"/>
      <c r="BZ369" s="8"/>
      <c r="CD369" s="8"/>
    </row>
    <row r="370" spans="73:82" ht="15.75">
      <c r="BU370" s="8"/>
      <c r="BZ370" s="8"/>
      <c r="CD370" s="8"/>
    </row>
    <row r="371" spans="73:82" ht="15.75">
      <c r="BU371" s="8"/>
      <c r="BZ371" s="8"/>
      <c r="CD371" s="8"/>
    </row>
    <row r="372" spans="73:82" ht="15.75">
      <c r="BU372" s="8"/>
      <c r="BZ372" s="8"/>
      <c r="CD372" s="8"/>
    </row>
    <row r="373" spans="73:82" ht="15.75">
      <c r="BU373" s="8"/>
      <c r="BZ373" s="8"/>
      <c r="CD373" s="8"/>
    </row>
    <row r="374" spans="73:82" ht="15.75">
      <c r="BU374" s="8"/>
      <c r="BZ374" s="8"/>
      <c r="CD374" s="8"/>
    </row>
    <row r="375" spans="73:82" ht="15.75">
      <c r="BU375" s="8"/>
      <c r="BZ375" s="8"/>
      <c r="CD375" s="8"/>
    </row>
    <row r="376" spans="73:82" ht="15.75">
      <c r="BU376" s="8"/>
      <c r="BZ376" s="8"/>
      <c r="CD376" s="8"/>
    </row>
    <row r="377" spans="73:82" ht="15.75">
      <c r="BU377" s="8"/>
      <c r="BZ377" s="8"/>
      <c r="CD377" s="8"/>
    </row>
    <row r="378" spans="73:82" ht="15.75">
      <c r="BU378" s="8"/>
      <c r="BZ378" s="8"/>
      <c r="CD378" s="8"/>
    </row>
    <row r="379" spans="73:82" ht="15.75">
      <c r="BU379" s="8"/>
      <c r="BZ379" s="8"/>
      <c r="CD379" s="8"/>
    </row>
    <row r="380" spans="73:82" ht="15.75">
      <c r="BU380" s="8"/>
      <c r="BZ380" s="8"/>
      <c r="CD380" s="8"/>
    </row>
    <row r="381" spans="73:82" ht="15.75">
      <c r="BU381" s="8"/>
      <c r="BZ381" s="8"/>
      <c r="CD381" s="8"/>
    </row>
    <row r="382" spans="73:82" ht="15.75">
      <c r="BU382" s="8"/>
      <c r="BZ382" s="8"/>
      <c r="CD382" s="8"/>
    </row>
    <row r="383" spans="73:82" ht="15.75">
      <c r="BU383" s="8"/>
      <c r="BZ383" s="8"/>
      <c r="CD383" s="8"/>
    </row>
    <row r="384" spans="73:82" ht="15.75">
      <c r="BU384" s="8"/>
      <c r="BZ384" s="8"/>
      <c r="CD384" s="8"/>
    </row>
    <row r="385" spans="73:82" ht="15.75">
      <c r="BU385" s="8"/>
      <c r="BZ385" s="8"/>
      <c r="CD385" s="8"/>
    </row>
    <row r="386" spans="73:82" ht="15.75">
      <c r="BU386" s="8"/>
      <c r="BZ386" s="8"/>
      <c r="CD386" s="8"/>
    </row>
    <row r="387" spans="73:82" ht="15.75">
      <c r="BU387" s="8"/>
      <c r="BZ387" s="8"/>
      <c r="CD387" s="8"/>
    </row>
    <row r="388" spans="73:82" ht="15.75">
      <c r="BU388" s="8"/>
      <c r="BZ388" s="8"/>
      <c r="CD388" s="8"/>
    </row>
    <row r="389" spans="73:82" ht="15.75">
      <c r="BU389" s="8"/>
      <c r="BZ389" s="8"/>
      <c r="CD389" s="8"/>
    </row>
    <row r="390" spans="73:82" ht="15.75">
      <c r="BU390" s="8"/>
      <c r="BZ390" s="8"/>
      <c r="CD390" s="8"/>
    </row>
    <row r="391" spans="73:82" ht="15.75">
      <c r="BU391" s="8"/>
      <c r="BZ391" s="8"/>
      <c r="CD391" s="8"/>
    </row>
    <row r="392" spans="73:82" ht="15.75">
      <c r="BU392" s="8"/>
      <c r="BZ392" s="8"/>
      <c r="CD392" s="8"/>
    </row>
    <row r="393" spans="73:82" ht="15.75">
      <c r="BU393" s="8"/>
      <c r="BZ393" s="8"/>
      <c r="CD393" s="8"/>
    </row>
    <row r="394" spans="73:82" ht="15.75">
      <c r="BU394" s="8"/>
      <c r="BZ394" s="8"/>
      <c r="CD394" s="8"/>
    </row>
    <row r="395" spans="73:82" ht="15.75">
      <c r="BU395" s="8"/>
      <c r="BZ395" s="8"/>
      <c r="CD395" s="8"/>
    </row>
    <row r="396" spans="73:82" ht="15.75">
      <c r="BU396" s="8"/>
      <c r="BZ396" s="8"/>
      <c r="CD396" s="8"/>
    </row>
    <row r="397" spans="73:82" ht="15.75">
      <c r="BU397" s="8"/>
      <c r="BZ397" s="8"/>
      <c r="CD397" s="8"/>
    </row>
    <row r="398" spans="73:82" ht="15.75">
      <c r="BU398" s="8"/>
      <c r="BZ398" s="8"/>
      <c r="CD398" s="8"/>
    </row>
    <row r="399" spans="73:82" ht="15.75">
      <c r="BU399" s="8"/>
      <c r="BZ399" s="8"/>
      <c r="CD399" s="8"/>
    </row>
    <row r="400" spans="73:82" ht="15.75">
      <c r="BU400" s="8"/>
      <c r="BZ400" s="8"/>
      <c r="CD400" s="8"/>
    </row>
    <row r="401" spans="73:82" ht="15.75">
      <c r="BU401" s="8"/>
      <c r="BZ401" s="8"/>
      <c r="CD401" s="8"/>
    </row>
    <row r="402" spans="73:82" ht="15.75">
      <c r="BU402" s="8"/>
      <c r="BZ402" s="8"/>
      <c r="CD402" s="8"/>
    </row>
    <row r="403" spans="73:82" ht="15.75">
      <c r="BU403" s="8"/>
      <c r="BZ403" s="8"/>
      <c r="CD403" s="8"/>
    </row>
    <row r="404" spans="73:82" ht="15.75">
      <c r="BU404" s="8"/>
      <c r="BZ404" s="8"/>
      <c r="CD404" s="8"/>
    </row>
    <row r="405" spans="73:82" ht="15.75">
      <c r="BU405" s="8"/>
      <c r="BZ405" s="8"/>
      <c r="CD405" s="8"/>
    </row>
    <row r="406" spans="73:82" ht="15.75">
      <c r="BU406" s="8"/>
      <c r="BZ406" s="8"/>
      <c r="CD406" s="8"/>
    </row>
    <row r="407" spans="73:82" ht="15.75">
      <c r="BU407" s="8"/>
      <c r="BZ407" s="8"/>
      <c r="CD407" s="8"/>
    </row>
    <row r="408" spans="73:82" ht="15.75">
      <c r="BU408" s="8"/>
      <c r="BZ408" s="8"/>
      <c r="CD408" s="8"/>
    </row>
    <row r="409" spans="73:82" ht="15.75">
      <c r="BU409" s="8"/>
      <c r="BZ409" s="8"/>
      <c r="CD409" s="8"/>
    </row>
    <row r="410" spans="73:82" ht="15.75">
      <c r="BU410" s="8"/>
      <c r="BZ410" s="8"/>
      <c r="CD410" s="8"/>
    </row>
    <row r="411" spans="73:82" ht="15.75">
      <c r="BU411" s="8"/>
      <c r="BZ411" s="8"/>
      <c r="CD411" s="8"/>
    </row>
    <row r="412" spans="73:82" ht="15.75">
      <c r="BU412" s="8"/>
      <c r="BZ412" s="8"/>
      <c r="CD412" s="8"/>
    </row>
    <row r="413" spans="73:82" ht="15.75">
      <c r="BU413" s="8"/>
      <c r="BZ413" s="8"/>
      <c r="CD413" s="8"/>
    </row>
    <row r="414" spans="73:82" ht="15.75">
      <c r="BU414" s="8"/>
      <c r="BZ414" s="8"/>
      <c r="CD414" s="8"/>
    </row>
    <row r="415" spans="73:82" ht="15.75">
      <c r="BU415" s="8"/>
      <c r="BZ415" s="8"/>
      <c r="CD415" s="8"/>
    </row>
    <row r="416" spans="73:82" ht="15.75">
      <c r="BU416" s="8"/>
      <c r="BZ416" s="8"/>
      <c r="CD416" s="8"/>
    </row>
    <row r="417" spans="73:82" ht="15.75">
      <c r="BU417" s="8"/>
      <c r="BZ417" s="8"/>
      <c r="CD417" s="8"/>
    </row>
    <row r="418" spans="73:82" ht="15.75">
      <c r="BU418" s="8"/>
      <c r="BZ418" s="8"/>
      <c r="CD418" s="8"/>
    </row>
    <row r="419" spans="73:82" ht="15.75">
      <c r="BU419" s="8"/>
      <c r="BZ419" s="8"/>
      <c r="CD419" s="8"/>
    </row>
    <row r="420" spans="73:82" ht="15.75">
      <c r="BU420" s="8"/>
      <c r="BZ420" s="8"/>
      <c r="CD420" s="8"/>
    </row>
    <row r="421" spans="73:82" ht="15.75">
      <c r="BU421" s="8"/>
      <c r="BZ421" s="8"/>
      <c r="CD421" s="8"/>
    </row>
    <row r="422" spans="73:82" ht="15.75">
      <c r="BU422" s="8"/>
      <c r="BZ422" s="8"/>
      <c r="CD422" s="8"/>
    </row>
    <row r="423" spans="73:82" ht="15.75">
      <c r="BU423" s="8"/>
      <c r="BZ423" s="8"/>
      <c r="CD423" s="8"/>
    </row>
    <row r="424" spans="73:82" ht="15.75">
      <c r="BU424" s="8"/>
      <c r="BZ424" s="8"/>
      <c r="CD424" s="8"/>
    </row>
    <row r="425" spans="73:82" ht="15.75">
      <c r="BU425" s="8"/>
      <c r="BZ425" s="8"/>
      <c r="CD425" s="8"/>
    </row>
    <row r="426" spans="73:82" ht="15.75">
      <c r="BU426" s="8"/>
      <c r="BZ426" s="8"/>
      <c r="CD426" s="8"/>
    </row>
    <row r="427" spans="73:82" ht="15.75">
      <c r="BU427" s="8"/>
      <c r="BZ427" s="8"/>
      <c r="CD427" s="8"/>
    </row>
    <row r="428" spans="73:82" ht="15.75">
      <c r="BU428" s="8"/>
      <c r="BZ428" s="8"/>
      <c r="CD428" s="8"/>
    </row>
    <row r="429" spans="73:82" ht="15.75">
      <c r="BU429" s="8"/>
      <c r="BZ429" s="8"/>
      <c r="CD429" s="8"/>
    </row>
    <row r="430" spans="73:82" ht="15.75">
      <c r="BU430" s="8"/>
      <c r="BZ430" s="8"/>
      <c r="CD430" s="8"/>
    </row>
    <row r="431" spans="73:82" ht="15.75">
      <c r="BU431" s="8"/>
      <c r="BZ431" s="8"/>
      <c r="CD431" s="8"/>
    </row>
    <row r="432" spans="73:82" ht="15.75">
      <c r="BU432" s="8"/>
      <c r="BZ432" s="8"/>
      <c r="CD432" s="8"/>
    </row>
    <row r="433" spans="73:82" ht="15.75">
      <c r="BU433" s="8"/>
      <c r="BZ433" s="8"/>
      <c r="CD433" s="8"/>
    </row>
    <row r="434" spans="73:82" ht="15.75">
      <c r="BU434" s="8"/>
      <c r="BZ434" s="8"/>
      <c r="CD434" s="8"/>
    </row>
    <row r="435" spans="73:82" ht="15.75">
      <c r="BU435" s="8"/>
      <c r="BZ435" s="8"/>
      <c r="CD435" s="8"/>
    </row>
    <row r="436" spans="73:82" ht="15.75">
      <c r="BU436" s="8"/>
      <c r="BZ436" s="8"/>
      <c r="CD436" s="8"/>
    </row>
    <row r="437" spans="73:82" ht="15.75">
      <c r="BU437" s="8"/>
      <c r="BZ437" s="8"/>
      <c r="CD437" s="8"/>
    </row>
    <row r="438" spans="73:82" ht="15.75">
      <c r="BU438" s="8"/>
      <c r="BZ438" s="8"/>
      <c r="CD438" s="8"/>
    </row>
    <row r="439" spans="73:82" ht="15.75">
      <c r="BU439" s="8"/>
      <c r="BZ439" s="8"/>
      <c r="CD439" s="8"/>
    </row>
    <row r="440" spans="73:82" ht="15.75">
      <c r="BU440" s="8"/>
      <c r="BZ440" s="8"/>
      <c r="CD440" s="8"/>
    </row>
    <row r="441" spans="73:82" ht="15.75">
      <c r="BU441" s="8"/>
      <c r="BZ441" s="8"/>
      <c r="CD441" s="8"/>
    </row>
    <row r="442" spans="73:82" ht="15.75">
      <c r="BU442" s="8"/>
      <c r="BZ442" s="8"/>
      <c r="CD442" s="8"/>
    </row>
    <row r="443" spans="73:82" ht="15.75">
      <c r="BU443" s="8"/>
      <c r="BZ443" s="8"/>
      <c r="CD443" s="8"/>
    </row>
    <row r="444" spans="73:82" ht="15.75">
      <c r="BU444" s="8"/>
      <c r="BZ444" s="8"/>
      <c r="CD444" s="8"/>
    </row>
    <row r="445" spans="73:82" ht="15.75">
      <c r="BU445" s="8"/>
      <c r="BZ445" s="8"/>
      <c r="CD445" s="8"/>
    </row>
    <row r="446" spans="73:82" ht="15.75">
      <c r="BU446" s="8"/>
      <c r="BZ446" s="8"/>
      <c r="CD446" s="8"/>
    </row>
    <row r="447" spans="73:82" ht="15.75">
      <c r="BU447" s="8"/>
      <c r="BZ447" s="8"/>
      <c r="CD447" s="8"/>
    </row>
    <row r="448" spans="73:82" ht="15.75">
      <c r="BU448" s="8"/>
      <c r="BZ448" s="8"/>
      <c r="CD448" s="8"/>
    </row>
    <row r="449" spans="73:82" ht="15.75">
      <c r="BU449" s="8"/>
      <c r="BZ449" s="8"/>
      <c r="CD449" s="8"/>
    </row>
    <row r="450" spans="73:82" ht="15.75">
      <c r="BU450" s="8"/>
      <c r="BZ450" s="8"/>
      <c r="CD450" s="8"/>
    </row>
    <row r="451" spans="73:82" ht="15.75">
      <c r="BU451" s="8"/>
      <c r="BZ451" s="8"/>
      <c r="CD451" s="8"/>
    </row>
    <row r="452" spans="73:82" ht="15.75">
      <c r="BU452" s="8"/>
      <c r="BZ452" s="8"/>
      <c r="CD452" s="8"/>
    </row>
    <row r="453" spans="73:82" ht="15.75">
      <c r="BU453" s="8"/>
      <c r="BZ453" s="8"/>
      <c r="CD453" s="8"/>
    </row>
    <row r="454" spans="73:82" ht="15.75">
      <c r="BU454" s="8"/>
      <c r="BZ454" s="8"/>
      <c r="CD454" s="8"/>
    </row>
    <row r="455" spans="73:82" ht="15.75">
      <c r="BU455" s="8"/>
      <c r="BZ455" s="8"/>
      <c r="CD455" s="8"/>
    </row>
    <row r="456" spans="73:82" ht="15.75">
      <c r="BU456" s="8"/>
      <c r="BZ456" s="8"/>
      <c r="CD456" s="8"/>
    </row>
    <row r="457" spans="73:82" ht="15.75">
      <c r="BU457" s="8"/>
      <c r="BZ457" s="8"/>
      <c r="CD457" s="8"/>
    </row>
    <row r="458" spans="73:82" ht="15.75">
      <c r="BU458" s="8"/>
      <c r="BZ458" s="8"/>
      <c r="CD458" s="8"/>
    </row>
    <row r="459" spans="73:82" ht="15.75">
      <c r="BU459" s="8"/>
      <c r="BZ459" s="8"/>
      <c r="CD459" s="8"/>
    </row>
    <row r="460" spans="73:82" ht="15.75">
      <c r="BU460" s="8"/>
      <c r="BZ460" s="8"/>
      <c r="CD460" s="8"/>
    </row>
    <row r="461" spans="73:82" ht="15.75">
      <c r="BU461" s="8"/>
      <c r="BZ461" s="8"/>
      <c r="CD461" s="8"/>
    </row>
    <row r="462" spans="73:82" ht="15.75">
      <c r="BU462" s="8"/>
      <c r="BZ462" s="8"/>
      <c r="CD462" s="8"/>
    </row>
    <row r="463" spans="73:82" ht="15.75">
      <c r="BU463" s="8"/>
      <c r="BZ463" s="8"/>
      <c r="CD463" s="8"/>
    </row>
    <row r="464" spans="73:82" ht="15.75">
      <c r="BU464" s="8"/>
      <c r="BZ464" s="8"/>
      <c r="CD464" s="8"/>
    </row>
    <row r="465" spans="73:82" ht="15.75">
      <c r="BU465" s="8"/>
      <c r="BZ465" s="8"/>
      <c r="CD465" s="8"/>
    </row>
    <row r="466" spans="73:82" ht="15.75">
      <c r="BU466" s="8"/>
      <c r="BZ466" s="8"/>
      <c r="CD466" s="8"/>
    </row>
    <row r="467" spans="73:82" ht="15.75">
      <c r="BU467" s="8"/>
      <c r="BZ467" s="8"/>
      <c r="CD467" s="8"/>
    </row>
    <row r="468" spans="73:82" ht="15.75">
      <c r="BU468" s="8"/>
      <c r="BZ468" s="8"/>
      <c r="CD468" s="8"/>
    </row>
    <row r="469" spans="73:82" ht="15.75">
      <c r="BU469" s="8"/>
      <c r="BZ469" s="8"/>
      <c r="CD469" s="8"/>
    </row>
    <row r="470" spans="73:82" ht="15.75">
      <c r="BU470" s="8"/>
      <c r="BZ470" s="8"/>
      <c r="CD470" s="8"/>
    </row>
    <row r="471" spans="73:82" ht="15.75">
      <c r="BU471" s="8"/>
      <c r="BZ471" s="8"/>
      <c r="CD471" s="8"/>
    </row>
    <row r="472" spans="73:82" ht="15.75">
      <c r="BU472" s="8"/>
      <c r="BZ472" s="8"/>
      <c r="CD472" s="8"/>
    </row>
    <row r="473" spans="73:82" ht="15.75">
      <c r="BU473" s="8"/>
      <c r="BZ473" s="8"/>
      <c r="CD473" s="8"/>
    </row>
    <row r="474" spans="73:82" ht="15.75">
      <c r="BU474" s="8"/>
      <c r="BZ474" s="8"/>
      <c r="CD474" s="8"/>
    </row>
    <row r="475" spans="73:82" ht="15.75">
      <c r="BU475" s="8"/>
      <c r="BZ475" s="8"/>
      <c r="CD475" s="8"/>
    </row>
    <row r="476" spans="73:82" ht="15.75">
      <c r="BU476" s="8"/>
      <c r="BZ476" s="8"/>
      <c r="CD476" s="8"/>
    </row>
    <row r="477" spans="73:82" ht="15.75">
      <c r="BU477" s="8"/>
      <c r="BZ477" s="8"/>
      <c r="CD477" s="8"/>
    </row>
    <row r="478" spans="73:82" ht="15.75">
      <c r="BU478" s="8"/>
      <c r="BZ478" s="8"/>
      <c r="CD478" s="8"/>
    </row>
    <row r="479" spans="73:82" ht="15.75">
      <c r="BU479" s="8"/>
      <c r="BZ479" s="8"/>
      <c r="CD479" s="8"/>
    </row>
    <row r="480" spans="73:82" ht="15.75">
      <c r="BU480" s="8"/>
      <c r="BZ480" s="8"/>
      <c r="CD480" s="8"/>
    </row>
    <row r="481" spans="73:82" ht="15.75">
      <c r="BU481" s="8"/>
      <c r="BZ481" s="8"/>
      <c r="CD481" s="8"/>
    </row>
    <row r="482" spans="73:82" ht="15.75">
      <c r="BU482" s="8"/>
      <c r="BZ482" s="8"/>
      <c r="CD482" s="8"/>
    </row>
    <row r="483" spans="73:82" ht="15.75">
      <c r="BU483" s="8"/>
      <c r="BZ483" s="8"/>
      <c r="CD483" s="8"/>
    </row>
    <row r="484" spans="73:82" ht="15.75">
      <c r="BU484" s="8"/>
      <c r="BZ484" s="8"/>
      <c r="CD484" s="8"/>
    </row>
    <row r="485" spans="73:82" ht="15.75">
      <c r="BU485" s="8"/>
      <c r="BZ485" s="8"/>
      <c r="CD485" s="8"/>
    </row>
    <row r="486" spans="73:82" ht="15.75">
      <c r="BU486" s="8"/>
      <c r="BZ486" s="8"/>
      <c r="CD486" s="8"/>
    </row>
    <row r="487" spans="73:82" ht="15.75">
      <c r="BU487" s="8"/>
      <c r="BZ487" s="8"/>
      <c r="CD487" s="8"/>
    </row>
    <row r="488" spans="73:82" ht="15.75">
      <c r="BU488" s="8"/>
      <c r="BZ488" s="8"/>
      <c r="CD488" s="8"/>
    </row>
    <row r="489" spans="73:82" ht="15.75">
      <c r="BU489" s="8"/>
      <c r="BZ489" s="8"/>
      <c r="CD489" s="8"/>
    </row>
    <row r="490" spans="73:82" ht="15.75">
      <c r="BU490" s="8"/>
      <c r="BZ490" s="8"/>
      <c r="CD490" s="8"/>
    </row>
    <row r="491" spans="73:82" ht="15.75">
      <c r="BU491" s="8"/>
      <c r="BZ491" s="8"/>
      <c r="CD491" s="8"/>
    </row>
    <row r="492" spans="73:82" ht="15.75">
      <c r="BU492" s="8"/>
      <c r="BZ492" s="8"/>
      <c r="CD492" s="8"/>
    </row>
    <row r="493" spans="73:82" ht="15.75">
      <c r="BU493" s="8"/>
      <c r="BZ493" s="8"/>
      <c r="CD493" s="8"/>
    </row>
    <row r="494" spans="73:82" ht="15.75">
      <c r="BU494" s="8"/>
      <c r="BZ494" s="8"/>
      <c r="CD494" s="8"/>
    </row>
    <row r="495" spans="73:82" ht="15.75">
      <c r="BU495" s="8"/>
      <c r="BZ495" s="8"/>
      <c r="CD495" s="8"/>
    </row>
    <row r="496" spans="73:82" ht="15.75">
      <c r="BU496" s="8"/>
      <c r="BZ496" s="8"/>
      <c r="CD496" s="8"/>
    </row>
    <row r="497" spans="73:82" ht="15.75">
      <c r="BU497" s="8"/>
      <c r="BZ497" s="8"/>
      <c r="CD497" s="8"/>
    </row>
    <row r="498" spans="73:82" ht="15.75">
      <c r="BU498" s="8"/>
      <c r="BZ498" s="8"/>
      <c r="CD498" s="8"/>
    </row>
    <row r="499" spans="73:82" ht="15.75">
      <c r="BU499" s="8"/>
      <c r="BZ499" s="8"/>
      <c r="CD499" s="8"/>
    </row>
    <row r="500" spans="73:82" ht="15.75">
      <c r="BU500" s="8"/>
      <c r="BZ500" s="8"/>
      <c r="CD500" s="8"/>
    </row>
    <row r="501" spans="73:82" ht="15.75">
      <c r="BU501" s="8"/>
      <c r="BZ501" s="8"/>
      <c r="CD501" s="8"/>
    </row>
    <row r="502" spans="73:82" ht="15.75">
      <c r="BU502" s="8"/>
      <c r="BZ502" s="8"/>
      <c r="CD502" s="8"/>
    </row>
    <row r="503" spans="73:82" ht="15.75">
      <c r="BU503" s="8"/>
      <c r="BZ503" s="8"/>
      <c r="CD503" s="8"/>
    </row>
    <row r="504" spans="73:82" ht="15.75">
      <c r="BU504" s="8"/>
      <c r="BZ504" s="8"/>
      <c r="CD504" s="8"/>
    </row>
    <row r="505" spans="73:82" ht="15.75">
      <c r="BU505" s="8"/>
      <c r="BZ505" s="8"/>
      <c r="CD505" s="8"/>
    </row>
    <row r="506" spans="73:82" ht="15.75">
      <c r="BU506" s="8"/>
      <c r="BZ506" s="8"/>
      <c r="CD506" s="8"/>
    </row>
    <row r="507" spans="73:82" ht="15.75">
      <c r="BU507" s="8"/>
      <c r="BZ507" s="8"/>
      <c r="CD507" s="8"/>
    </row>
    <row r="508" spans="73:82" ht="15.75">
      <c r="BU508" s="8"/>
      <c r="BZ508" s="8"/>
      <c r="CD508" s="8"/>
    </row>
    <row r="509" spans="73:82" ht="15.75">
      <c r="BU509" s="8"/>
      <c r="BZ509" s="8"/>
      <c r="CD509" s="8"/>
    </row>
    <row r="510" spans="73:82" ht="15.75">
      <c r="BU510" s="8"/>
      <c r="BZ510" s="8"/>
      <c r="CD510" s="8"/>
    </row>
    <row r="511" spans="73:82" ht="15.75">
      <c r="BU511" s="8"/>
      <c r="BZ511" s="8"/>
      <c r="CD511" s="8"/>
    </row>
    <row r="512" spans="73:82" ht="15.75">
      <c r="BU512" s="8"/>
      <c r="BZ512" s="8"/>
      <c r="CD512" s="8"/>
    </row>
    <row r="513" spans="73:82" ht="15.75">
      <c r="BU513" s="8"/>
      <c r="BZ513" s="8"/>
      <c r="CD513" s="8"/>
    </row>
    <row r="514" spans="73:82" ht="15.75">
      <c r="BU514" s="8"/>
      <c r="BZ514" s="8"/>
      <c r="CD514" s="8"/>
    </row>
    <row r="515" spans="73:82" ht="15.75">
      <c r="BU515" s="8"/>
      <c r="BZ515" s="8"/>
      <c r="CD515" s="8"/>
    </row>
    <row r="516" spans="73:82" ht="15.75">
      <c r="BU516" s="8"/>
      <c r="BZ516" s="8"/>
      <c r="CD516" s="8"/>
    </row>
    <row r="517" spans="73:82" ht="15.75">
      <c r="BU517" s="8"/>
      <c r="BZ517" s="8"/>
      <c r="CD517" s="8"/>
    </row>
    <row r="518" spans="73:82" ht="15.75">
      <c r="BU518" s="8"/>
      <c r="BZ518" s="8"/>
      <c r="CD518" s="8"/>
    </row>
    <row r="519" spans="73:82" ht="15.75">
      <c r="BU519" s="8"/>
      <c r="BZ519" s="8"/>
      <c r="CD519" s="8"/>
    </row>
    <row r="520" spans="73:82" ht="15.75">
      <c r="BU520" s="8"/>
      <c r="BZ520" s="8"/>
      <c r="CD520" s="8"/>
    </row>
    <row r="521" spans="73:82" ht="15.75">
      <c r="BU521" s="8"/>
      <c r="BZ521" s="8"/>
      <c r="CD521" s="8"/>
    </row>
    <row r="522" spans="73:82" ht="15.75">
      <c r="BU522" s="8"/>
      <c r="BZ522" s="8"/>
      <c r="CD522" s="8"/>
    </row>
    <row r="523" spans="73:82" ht="15.75">
      <c r="BU523" s="8"/>
      <c r="BZ523" s="8"/>
      <c r="CD523" s="8"/>
    </row>
    <row r="524" spans="73:82" ht="15.75">
      <c r="BU524" s="8"/>
      <c r="BZ524" s="8"/>
      <c r="CD524" s="8"/>
    </row>
    <row r="525" spans="73:82" ht="15.75">
      <c r="BU525" s="8"/>
      <c r="BZ525" s="8"/>
      <c r="CD525" s="8"/>
    </row>
    <row r="526" spans="73:82" ht="15.75">
      <c r="BU526" s="8"/>
      <c r="BZ526" s="8"/>
      <c r="CD526" s="8"/>
    </row>
    <row r="527" spans="73:82" ht="15.75">
      <c r="BU527" s="8"/>
      <c r="BZ527" s="8"/>
      <c r="CD527" s="8"/>
    </row>
    <row r="528" spans="73:82" ht="15.75">
      <c r="BU528" s="8"/>
      <c r="BZ528" s="8"/>
      <c r="CD528" s="8"/>
    </row>
    <row r="529" spans="73:82" ht="15.75">
      <c r="BU529" s="8"/>
      <c r="BZ529" s="8"/>
      <c r="CD529" s="8"/>
    </row>
    <row r="530" spans="73:82" ht="15.75">
      <c r="BU530" s="8"/>
      <c r="BZ530" s="8"/>
      <c r="CD530" s="8"/>
    </row>
    <row r="531" spans="73:82" ht="15.75">
      <c r="BU531" s="8"/>
      <c r="BZ531" s="8"/>
      <c r="CD531" s="8"/>
    </row>
    <row r="532" spans="73:82" ht="15.75">
      <c r="BU532" s="8"/>
      <c r="BZ532" s="8"/>
      <c r="CD532" s="8"/>
    </row>
    <row r="533" spans="73:82" ht="15.75">
      <c r="BU533" s="8"/>
      <c r="BZ533" s="8"/>
      <c r="CD533" s="8"/>
    </row>
    <row r="534" spans="73:82" ht="15.75">
      <c r="BU534" s="8"/>
      <c r="BZ534" s="8"/>
      <c r="CD534" s="8"/>
    </row>
    <row r="535" spans="73:82" ht="15.75">
      <c r="BU535" s="8"/>
      <c r="BZ535" s="8"/>
      <c r="CD535" s="8"/>
    </row>
    <row r="536" spans="73:82" ht="15.75">
      <c r="BU536" s="8"/>
      <c r="BZ536" s="8"/>
      <c r="CD536" s="8"/>
    </row>
    <row r="537" spans="73:82" ht="15.75">
      <c r="BU537" s="8"/>
      <c r="BZ537" s="8"/>
      <c r="CD537" s="8"/>
    </row>
    <row r="538" spans="73:82" ht="15.75">
      <c r="BU538" s="8"/>
      <c r="BZ538" s="8"/>
      <c r="CD538" s="8"/>
    </row>
    <row r="539" spans="73:82" ht="15.75">
      <c r="BU539" s="8"/>
      <c r="BZ539" s="8"/>
      <c r="CD539" s="8"/>
    </row>
    <row r="540" spans="73:82" ht="15.75">
      <c r="BU540" s="8"/>
      <c r="BZ540" s="8"/>
      <c r="CD540" s="8"/>
    </row>
    <row r="541" spans="73:82" ht="15.75">
      <c r="BU541" s="8"/>
      <c r="BZ541" s="8"/>
      <c r="CD541" s="8"/>
    </row>
    <row r="542" spans="73:82" ht="15.75">
      <c r="BU542" s="8"/>
      <c r="BZ542" s="8"/>
      <c r="CD542" s="8"/>
    </row>
    <row r="543" spans="73:82" ht="15.75">
      <c r="BU543" s="8"/>
      <c r="BZ543" s="8"/>
      <c r="CD543" s="8"/>
    </row>
    <row r="544" spans="73:82" ht="15.75">
      <c r="BU544" s="8"/>
      <c r="BZ544" s="8"/>
      <c r="CD544" s="8"/>
    </row>
    <row r="545" spans="73:82" ht="15.75">
      <c r="BU545" s="8"/>
      <c r="BZ545" s="8"/>
      <c r="CD545" s="8"/>
    </row>
    <row r="546" spans="73:82" ht="15.75">
      <c r="BU546" s="8"/>
      <c r="BZ546" s="8"/>
      <c r="CD546" s="8"/>
    </row>
    <row r="547" spans="73:82" ht="15.75">
      <c r="BU547" s="8"/>
      <c r="BZ547" s="8"/>
      <c r="CD547" s="8"/>
    </row>
    <row r="548" spans="73:82" ht="15.75">
      <c r="BU548" s="8"/>
      <c r="BZ548" s="8"/>
      <c r="CD548" s="8"/>
    </row>
    <row r="549" spans="73:82" ht="15.75">
      <c r="BU549" s="8"/>
      <c r="BZ549" s="8"/>
      <c r="CD549" s="8"/>
    </row>
    <row r="550" spans="73:82" ht="15.75">
      <c r="BU550" s="8"/>
      <c r="BZ550" s="8"/>
      <c r="CD550" s="8"/>
    </row>
    <row r="551" spans="73:82" ht="15.75">
      <c r="BU551" s="8"/>
      <c r="BZ551" s="8"/>
      <c r="CD551" s="8"/>
    </row>
    <row r="552" spans="73:82" ht="15.75">
      <c r="BU552" s="8"/>
      <c r="BZ552" s="8"/>
      <c r="CD552" s="8"/>
    </row>
    <row r="553" spans="73:82" ht="15.75">
      <c r="BU553" s="8"/>
      <c r="BZ553" s="8"/>
      <c r="CD553" s="8"/>
    </row>
    <row r="554" spans="73:82" ht="15.75">
      <c r="BU554" s="8"/>
      <c r="BZ554" s="8"/>
      <c r="CD554" s="8"/>
    </row>
    <row r="555" spans="73:82" ht="15.75">
      <c r="BU555" s="8"/>
      <c r="BZ555" s="8"/>
      <c r="CD555" s="8"/>
    </row>
    <row r="556" spans="73:82" ht="15.75">
      <c r="BU556" s="8"/>
      <c r="BZ556" s="8"/>
      <c r="CD556" s="8"/>
    </row>
    <row r="557" spans="73:82" ht="15.75">
      <c r="BU557" s="8"/>
      <c r="BZ557" s="8"/>
      <c r="CD557" s="8"/>
    </row>
    <row r="558" spans="73:82" ht="15.75">
      <c r="BU558" s="8"/>
      <c r="BZ558" s="8"/>
      <c r="CD558" s="8"/>
    </row>
    <row r="559" spans="73:82" ht="15.75">
      <c r="BU559" s="8"/>
      <c r="BZ559" s="8"/>
      <c r="CD559" s="8"/>
    </row>
    <row r="560" spans="73:82" ht="15.75">
      <c r="BU560" s="8"/>
      <c r="BZ560" s="8"/>
      <c r="CD560" s="8"/>
    </row>
    <row r="561" spans="73:82" ht="15.75">
      <c r="BU561" s="8"/>
      <c r="BZ561" s="8"/>
      <c r="CD561" s="8"/>
    </row>
    <row r="562" spans="73:82" ht="15.75">
      <c r="BU562" s="8"/>
      <c r="BZ562" s="8"/>
      <c r="CD562" s="8"/>
    </row>
    <row r="563" spans="73:82" ht="15.75">
      <c r="BU563" s="8"/>
      <c r="BZ563" s="8"/>
      <c r="CD563" s="8"/>
    </row>
    <row r="564" spans="73:82" ht="15.75">
      <c r="BU564" s="8"/>
      <c r="BZ564" s="8"/>
      <c r="CD564" s="8"/>
    </row>
    <row r="565" spans="73:82" ht="15.75">
      <c r="BU565" s="8"/>
      <c r="BZ565" s="8"/>
      <c r="CD565" s="8"/>
    </row>
    <row r="566" spans="73:82" ht="15.75">
      <c r="BU566" s="8"/>
      <c r="BZ566" s="8"/>
      <c r="CD566" s="8"/>
    </row>
    <row r="567" spans="73:82" ht="15.75">
      <c r="BU567" s="8"/>
      <c r="BZ567" s="8"/>
      <c r="CD567" s="8"/>
    </row>
    <row r="568" spans="73:82" ht="15.75">
      <c r="BU568" s="8"/>
      <c r="BZ568" s="8"/>
      <c r="CD568" s="8"/>
    </row>
    <row r="569" spans="73:82" ht="15.75">
      <c r="BU569" s="8"/>
      <c r="BZ569" s="8"/>
      <c r="CD569" s="8"/>
    </row>
    <row r="570" spans="73:82" ht="15.75">
      <c r="BU570" s="8"/>
      <c r="BZ570" s="8"/>
      <c r="CD570" s="8"/>
    </row>
    <row r="571" spans="73:82" ht="15.75">
      <c r="BU571" s="8"/>
      <c r="BZ571" s="8"/>
      <c r="CD571" s="8"/>
    </row>
    <row r="572" spans="73:82" ht="15.75">
      <c r="BU572" s="8"/>
      <c r="BZ572" s="8"/>
      <c r="CD572" s="8"/>
    </row>
    <row r="573" spans="73:82" ht="15.75">
      <c r="BU573" s="8"/>
      <c r="BZ573" s="8"/>
      <c r="CD573" s="8"/>
    </row>
    <row r="574" spans="73:82" ht="15.75">
      <c r="BU574" s="8"/>
      <c r="BZ574" s="8"/>
      <c r="CD574" s="8"/>
    </row>
    <row r="575" spans="73:82" ht="15.75">
      <c r="BU575" s="8"/>
      <c r="BZ575" s="8"/>
      <c r="CD575" s="8"/>
    </row>
    <row r="576" spans="73:82" ht="15.75">
      <c r="BU576" s="8"/>
      <c r="BZ576" s="8"/>
      <c r="CD576" s="8"/>
    </row>
    <row r="577" spans="73:82" ht="15.75">
      <c r="BU577" s="8"/>
      <c r="BZ577" s="8"/>
      <c r="CD577" s="8"/>
    </row>
    <row r="578" spans="73:82" ht="15.75">
      <c r="BU578" s="8"/>
      <c r="BZ578" s="8"/>
      <c r="CD578" s="8"/>
    </row>
    <row r="579" spans="73:82" ht="15.75">
      <c r="BU579" s="8"/>
      <c r="BZ579" s="8"/>
      <c r="CD579" s="8"/>
    </row>
    <row r="580" spans="73:82" ht="15.75">
      <c r="BU580" s="8"/>
      <c r="BZ580" s="8"/>
      <c r="CD580" s="8"/>
    </row>
    <row r="581" spans="73:82" ht="15.75">
      <c r="BU581" s="8"/>
      <c r="BZ581" s="8"/>
      <c r="CD581" s="8"/>
    </row>
    <row r="582" spans="73:82" ht="15.75">
      <c r="BU582" s="8"/>
      <c r="BZ582" s="8"/>
      <c r="CD582" s="8"/>
    </row>
    <row r="583" spans="73:82" ht="15.75">
      <c r="BU583" s="8"/>
      <c r="BZ583" s="8"/>
      <c r="CD583" s="8"/>
    </row>
    <row r="584" spans="73:82" ht="15.75">
      <c r="BU584" s="8"/>
      <c r="BZ584" s="8"/>
      <c r="CD584" s="8"/>
    </row>
    <row r="585" spans="73:82" ht="15.75">
      <c r="BU585" s="8"/>
      <c r="BZ585" s="8"/>
      <c r="CD585" s="8"/>
    </row>
    <row r="586" spans="73:82" ht="15.75">
      <c r="BU586" s="8"/>
      <c r="BZ586" s="8"/>
      <c r="CD586" s="8"/>
    </row>
    <row r="587" spans="73:82" ht="15.75">
      <c r="BU587" s="8"/>
      <c r="BZ587" s="8"/>
      <c r="CD587" s="8"/>
    </row>
    <row r="588" spans="73:82" ht="15.75">
      <c r="BU588" s="8"/>
      <c r="BZ588" s="8"/>
      <c r="CD588" s="8"/>
    </row>
    <row r="589" spans="73:82" ht="15.75">
      <c r="BU589" s="8"/>
      <c r="BZ589" s="8"/>
      <c r="CD589" s="8"/>
    </row>
    <row r="590" spans="73:82" ht="15.75">
      <c r="BU590" s="8"/>
      <c r="BZ590" s="8"/>
      <c r="CD590" s="8"/>
    </row>
    <row r="591" spans="73:82" ht="15.75">
      <c r="BU591" s="8"/>
      <c r="BZ591" s="8"/>
      <c r="CD591" s="8"/>
    </row>
    <row r="592" spans="73:82" ht="15.75">
      <c r="BU592" s="8"/>
      <c r="BZ592" s="8"/>
      <c r="CD592" s="8"/>
    </row>
    <row r="593" spans="73:82" ht="15.75">
      <c r="BU593" s="8"/>
      <c r="BZ593" s="8"/>
      <c r="CD593" s="8"/>
    </row>
    <row r="594" spans="73:82" ht="15.75">
      <c r="BU594" s="8"/>
      <c r="BZ594" s="8"/>
      <c r="CD594" s="8"/>
    </row>
    <row r="595" spans="73:82" ht="15.75">
      <c r="BU595" s="8"/>
      <c r="BZ595" s="8"/>
      <c r="CD595" s="8"/>
    </row>
    <row r="596" spans="73:82" ht="15.75">
      <c r="BU596" s="8"/>
      <c r="BZ596" s="8"/>
      <c r="CD596" s="8"/>
    </row>
    <row r="597" spans="73:82" ht="15.75">
      <c r="BU597" s="8"/>
      <c r="BZ597" s="8"/>
      <c r="CD597" s="8"/>
    </row>
    <row r="598" spans="73:82" ht="15.75">
      <c r="BU598" s="8"/>
      <c r="BZ598" s="8"/>
      <c r="CD598" s="8"/>
    </row>
    <row r="599" spans="73:82" ht="15.75">
      <c r="BU599" s="8"/>
      <c r="BZ599" s="8"/>
      <c r="CD599" s="8"/>
    </row>
    <row r="600" spans="73:82" ht="15.75">
      <c r="BU600" s="8"/>
      <c r="BZ600" s="8"/>
      <c r="CD600" s="8"/>
    </row>
    <row r="601" spans="73:82" ht="15.75">
      <c r="BU601" s="8"/>
      <c r="BZ601" s="8"/>
      <c r="CD601" s="8"/>
    </row>
    <row r="602" spans="73:82" ht="15.75">
      <c r="BU602" s="8"/>
      <c r="BZ602" s="8"/>
      <c r="CD602" s="8"/>
    </row>
    <row r="603" spans="73:82" ht="15.75">
      <c r="BU603" s="8"/>
      <c r="BZ603" s="8"/>
      <c r="CD603" s="8"/>
    </row>
    <row r="604" spans="73:82" ht="15.75">
      <c r="BU604" s="8"/>
      <c r="BZ604" s="8"/>
      <c r="CD604" s="8"/>
    </row>
    <row r="605" spans="73:82" ht="15.75">
      <c r="BU605" s="8"/>
      <c r="BZ605" s="8"/>
      <c r="CD605" s="8"/>
    </row>
    <row r="606" spans="73:82" ht="15.75">
      <c r="BU606" s="8"/>
      <c r="BZ606" s="8"/>
      <c r="CD606" s="8"/>
    </row>
    <row r="607" spans="73:82" ht="15.75">
      <c r="BU607" s="8"/>
      <c r="BZ607" s="8"/>
      <c r="CD607" s="8"/>
    </row>
    <row r="608" spans="73:82" ht="15.75">
      <c r="BU608" s="8"/>
      <c r="BZ608" s="8"/>
      <c r="CD608" s="8"/>
    </row>
    <row r="609" spans="73:82" ht="15.75">
      <c r="BU609" s="8"/>
      <c r="BZ609" s="8"/>
      <c r="CD609" s="8"/>
    </row>
    <row r="610" spans="73:82" ht="15.75">
      <c r="BU610" s="8"/>
      <c r="BZ610" s="8"/>
      <c r="CD610" s="8"/>
    </row>
    <row r="611" spans="73:82" ht="15.75">
      <c r="BU611" s="8"/>
      <c r="BZ611" s="8"/>
      <c r="CD611" s="8"/>
    </row>
    <row r="612" spans="73:82" ht="15.75">
      <c r="BU612" s="8"/>
      <c r="BZ612" s="8"/>
      <c r="CD612" s="8"/>
    </row>
    <row r="613" spans="73:82" ht="15.75">
      <c r="BU613" s="8"/>
      <c r="BZ613" s="8"/>
      <c r="CD613" s="8"/>
    </row>
    <row r="614" spans="73:82" ht="15.75">
      <c r="BU614" s="8"/>
      <c r="BZ614" s="8"/>
      <c r="CD614" s="8"/>
    </row>
    <row r="615" spans="73:82" ht="15.75">
      <c r="BU615" s="8"/>
      <c r="BZ615" s="8"/>
      <c r="CD615" s="8"/>
    </row>
    <row r="616" spans="73:82" ht="15.75">
      <c r="BU616" s="8"/>
      <c r="BZ616" s="8"/>
      <c r="CD616" s="8"/>
    </row>
    <row r="617" spans="73:82" ht="15.75">
      <c r="BU617" s="8"/>
      <c r="BZ617" s="8"/>
      <c r="CD617" s="8"/>
    </row>
    <row r="618" spans="73:82" ht="15.75">
      <c r="BU618" s="8"/>
      <c r="BZ618" s="8"/>
      <c r="CD618" s="8"/>
    </row>
    <row r="619" spans="73:82" ht="15.75">
      <c r="BU619" s="8"/>
      <c r="BZ619" s="8"/>
      <c r="CD619" s="8"/>
    </row>
    <row r="620" spans="73:82" ht="15.75">
      <c r="BU620" s="8"/>
      <c r="BZ620" s="8"/>
      <c r="CD620" s="8"/>
    </row>
    <row r="621" spans="73:82" ht="15.75">
      <c r="BU621" s="8"/>
      <c r="BZ621" s="8"/>
      <c r="CD621" s="8"/>
    </row>
    <row r="622" spans="73:82" ht="15.75">
      <c r="BU622" s="8"/>
      <c r="BZ622" s="8"/>
      <c r="CD622" s="8"/>
    </row>
    <row r="623" spans="73:82" ht="15.75">
      <c r="BU623" s="8"/>
      <c r="BZ623" s="8"/>
      <c r="CD623" s="8"/>
    </row>
    <row r="624" spans="73:82" ht="15.75">
      <c r="BU624" s="8"/>
      <c r="BZ624" s="8"/>
      <c r="CD624" s="8"/>
    </row>
    <row r="625" spans="73:82" ht="15.75">
      <c r="BU625" s="8"/>
      <c r="BZ625" s="8"/>
      <c r="CD625" s="8"/>
    </row>
    <row r="626" spans="73:82" ht="15.75">
      <c r="BU626" s="8"/>
      <c r="BZ626" s="8"/>
      <c r="CD626" s="8"/>
    </row>
    <row r="627" spans="73:82" ht="15.75">
      <c r="BU627" s="8"/>
      <c r="BZ627" s="8"/>
      <c r="CD627" s="8"/>
    </row>
    <row r="628" spans="73:82" ht="15.75">
      <c r="BU628" s="8"/>
      <c r="BZ628" s="8"/>
      <c r="CD628" s="8"/>
    </row>
    <row r="629" spans="73:82" ht="15.75">
      <c r="BU629" s="8"/>
      <c r="BZ629" s="8"/>
      <c r="CD629" s="8"/>
    </row>
    <row r="630" spans="73:82" ht="15.75">
      <c r="BU630" s="8"/>
      <c r="BZ630" s="8"/>
      <c r="CD630" s="8"/>
    </row>
    <row r="631" spans="73:82" ht="15.75">
      <c r="BU631" s="8"/>
      <c r="BZ631" s="8"/>
      <c r="CD631" s="8"/>
    </row>
    <row r="632" spans="73:82" ht="15.75">
      <c r="BU632" s="8"/>
      <c r="BZ632" s="8"/>
      <c r="CD632" s="8"/>
    </row>
    <row r="633" spans="73:82" ht="15.75">
      <c r="BU633" s="8"/>
      <c r="BZ633" s="8"/>
      <c r="CD633" s="8"/>
    </row>
    <row r="634" spans="73:82" ht="15.75">
      <c r="BU634" s="8"/>
      <c r="BZ634" s="8"/>
      <c r="CD634" s="8"/>
    </row>
    <row r="635" spans="73:82" ht="15.75">
      <c r="BU635" s="8"/>
      <c r="BZ635" s="8"/>
      <c r="CD635" s="8"/>
    </row>
    <row r="636" spans="73:82" ht="15.75">
      <c r="BU636" s="8"/>
      <c r="BZ636" s="8"/>
      <c r="CD636" s="8"/>
    </row>
    <row r="637" spans="73:82" ht="15.75">
      <c r="BU637" s="8"/>
      <c r="BZ637" s="8"/>
      <c r="CD637" s="8"/>
    </row>
    <row r="638" spans="73:82" ht="15.75">
      <c r="BU638" s="8"/>
      <c r="BZ638" s="8"/>
      <c r="CD638" s="8"/>
    </row>
    <row r="639" spans="73:82" ht="15.75">
      <c r="BU639" s="8"/>
      <c r="BZ639" s="8"/>
      <c r="CD639" s="8"/>
    </row>
    <row r="640" spans="73:82" ht="15.75">
      <c r="BU640" s="8"/>
      <c r="BZ640" s="8"/>
      <c r="CD640" s="8"/>
    </row>
    <row r="641" spans="73:82" ht="15.75">
      <c r="BU641" s="8"/>
      <c r="BZ641" s="8"/>
      <c r="CD641" s="8"/>
    </row>
    <row r="642" spans="73:82" ht="15.75">
      <c r="BU642" s="8"/>
      <c r="BZ642" s="8"/>
      <c r="CD642" s="8"/>
    </row>
    <row r="643" spans="73:82" ht="15.75">
      <c r="BU643" s="8"/>
      <c r="BZ643" s="8"/>
      <c r="CD643" s="8"/>
    </row>
    <row r="644" spans="73:82" ht="15.75">
      <c r="BU644" s="8"/>
      <c r="BZ644" s="8"/>
      <c r="CD644" s="8"/>
    </row>
    <row r="645" spans="73:82" ht="15.75">
      <c r="BU645" s="8"/>
      <c r="BZ645" s="8"/>
      <c r="CD645" s="8"/>
    </row>
    <row r="646" spans="73:82" ht="15.75">
      <c r="BU646" s="8"/>
      <c r="BZ646" s="8"/>
      <c r="CD646" s="8"/>
    </row>
    <row r="647" spans="73:82" ht="15.75">
      <c r="BU647" s="8"/>
      <c r="BZ647" s="8"/>
      <c r="CD647" s="8"/>
    </row>
    <row r="648" spans="73:82" ht="15.75">
      <c r="BU648" s="8"/>
      <c r="BZ648" s="8"/>
      <c r="CD648" s="8"/>
    </row>
    <row r="649" spans="73:82" ht="15.75">
      <c r="BU649" s="8"/>
      <c r="BZ649" s="8"/>
      <c r="CD649" s="8"/>
    </row>
    <row r="650" spans="73:82" ht="15.75">
      <c r="BU650" s="8"/>
      <c r="BZ650" s="8"/>
      <c r="CD650" s="8"/>
    </row>
    <row r="651" spans="73:82" ht="15.75">
      <c r="BU651" s="8"/>
      <c r="BZ651" s="8"/>
      <c r="CD651" s="8"/>
    </row>
    <row r="652" spans="73:82" ht="15.75">
      <c r="BU652" s="8"/>
      <c r="BZ652" s="8"/>
      <c r="CD652" s="8"/>
    </row>
    <row r="653" spans="73:82" ht="15.75">
      <c r="BU653" s="8"/>
      <c r="BZ653" s="8"/>
      <c r="CD653" s="8"/>
    </row>
    <row r="654" spans="73:82" ht="15.75">
      <c r="BU654" s="8"/>
      <c r="BZ654" s="8"/>
      <c r="CD654" s="8"/>
    </row>
    <row r="655" spans="73:82" ht="15.75">
      <c r="BU655" s="8"/>
      <c r="BZ655" s="8"/>
      <c r="CD655" s="8"/>
    </row>
    <row r="656" spans="73:82" ht="15.75">
      <c r="BU656" s="8"/>
      <c r="BZ656" s="8"/>
      <c r="CD656" s="8"/>
    </row>
    <row r="657" spans="73:82" ht="15.75">
      <c r="BU657" s="8"/>
      <c r="BZ657" s="8"/>
      <c r="CD657" s="8"/>
    </row>
    <row r="658" spans="73:82" ht="15.75">
      <c r="BU658" s="8"/>
      <c r="BZ658" s="8"/>
      <c r="CD658" s="8"/>
    </row>
    <row r="659" spans="73:82" ht="15.75">
      <c r="BU659" s="8"/>
      <c r="BZ659" s="8"/>
      <c r="CD659" s="8"/>
    </row>
    <row r="660" spans="73:82" ht="15.75">
      <c r="BU660" s="8"/>
      <c r="BZ660" s="8"/>
      <c r="CD660" s="8"/>
    </row>
    <row r="661" spans="73:82" ht="15.75">
      <c r="BU661" s="8"/>
      <c r="BZ661" s="8"/>
      <c r="CD661" s="8"/>
    </row>
    <row r="662" spans="73:82" ht="15.75">
      <c r="BU662" s="8"/>
      <c r="BZ662" s="8"/>
      <c r="CD662" s="8"/>
    </row>
    <row r="663" spans="73:82" ht="15.75">
      <c r="BU663" s="8"/>
      <c r="BZ663" s="8"/>
      <c r="CD663" s="8"/>
    </row>
    <row r="664" spans="73:82" ht="15.75">
      <c r="BU664" s="8"/>
      <c r="BZ664" s="8"/>
      <c r="CD664" s="8"/>
    </row>
    <row r="665" spans="73:82" ht="15.75">
      <c r="BU665" s="8"/>
      <c r="BZ665" s="8"/>
      <c r="CD665" s="8"/>
    </row>
    <row r="666" spans="73:82" ht="15.75">
      <c r="BU666" s="8"/>
      <c r="BZ666" s="8"/>
      <c r="CD666" s="8"/>
    </row>
    <row r="667" spans="73:82" ht="15.75">
      <c r="BU667" s="8"/>
      <c r="BZ667" s="8"/>
      <c r="CD667" s="8"/>
    </row>
    <row r="668" spans="73:82" ht="15.75">
      <c r="BU668" s="8"/>
      <c r="BZ668" s="8"/>
      <c r="CD668" s="8"/>
    </row>
    <row r="669" spans="73:82" ht="15.75">
      <c r="BU669" s="8"/>
      <c r="BZ669" s="8"/>
      <c r="CD669" s="8"/>
    </row>
    <row r="670" spans="73:82" ht="15.75">
      <c r="BU670" s="8"/>
      <c r="BZ670" s="8"/>
      <c r="CD670" s="8"/>
    </row>
    <row r="671" spans="73:82" ht="15.75">
      <c r="BU671" s="8"/>
      <c r="BZ671" s="8"/>
      <c r="CD671" s="8"/>
    </row>
    <row r="672" spans="73:82" ht="15.75">
      <c r="BU672" s="8"/>
      <c r="BZ672" s="8"/>
      <c r="CD672" s="8"/>
    </row>
    <row r="673" spans="73:82" ht="15.75">
      <c r="BU673" s="8"/>
      <c r="BZ673" s="8"/>
      <c r="CD673" s="8"/>
    </row>
    <row r="674" spans="73:82" ht="15.75">
      <c r="BU674" s="8"/>
      <c r="BZ674" s="8"/>
      <c r="CD674" s="8"/>
    </row>
    <row r="675" spans="73:82" ht="15.75">
      <c r="BU675" s="8"/>
      <c r="BZ675" s="8"/>
      <c r="CD675" s="8"/>
    </row>
    <row r="676" spans="73:82" ht="15.75">
      <c r="BU676" s="8"/>
      <c r="BZ676" s="8"/>
      <c r="CD676" s="8"/>
    </row>
    <row r="677" spans="73:82" ht="15.75">
      <c r="BU677" s="8"/>
      <c r="BZ677" s="8"/>
      <c r="CD677" s="8"/>
    </row>
    <row r="678" spans="73:82" ht="15.75">
      <c r="BU678" s="8"/>
      <c r="BZ678" s="8"/>
      <c r="CD678" s="8"/>
    </row>
    <row r="679" spans="73:82" ht="15.75">
      <c r="BU679" s="8"/>
      <c r="BZ679" s="8"/>
      <c r="CD679" s="8"/>
    </row>
    <row r="680" spans="73:82" ht="15.75">
      <c r="BU680" s="8"/>
      <c r="BZ680" s="8"/>
      <c r="CD680" s="8"/>
    </row>
    <row r="681" spans="73:82" ht="15.75">
      <c r="BU681" s="8"/>
      <c r="BZ681" s="8"/>
      <c r="CD681" s="8"/>
    </row>
    <row r="682" spans="73:82" ht="15.75">
      <c r="BU682" s="8"/>
      <c r="BZ682" s="8"/>
      <c r="CD682" s="8"/>
    </row>
    <row r="683" spans="73:82" ht="15.75">
      <c r="BU683" s="8"/>
      <c r="BZ683" s="8"/>
      <c r="CD683" s="8"/>
    </row>
    <row r="684" spans="73:82" ht="15.75">
      <c r="BU684" s="8"/>
      <c r="BZ684" s="8"/>
      <c r="CD684" s="8"/>
    </row>
    <row r="685" spans="73:82" ht="15.75">
      <c r="BU685" s="8"/>
      <c r="BZ685" s="8"/>
      <c r="CD685" s="8"/>
    </row>
    <row r="686" spans="73:82" ht="15.75">
      <c r="BU686" s="8"/>
      <c r="BZ686" s="8"/>
      <c r="CD686" s="8"/>
    </row>
    <row r="687" spans="73:82" ht="15.75">
      <c r="BU687" s="8"/>
      <c r="BZ687" s="8"/>
      <c r="CD687" s="8"/>
    </row>
    <row r="688" spans="73:82" ht="15.75">
      <c r="BU688" s="8"/>
      <c r="BZ688" s="8"/>
      <c r="CD688" s="8"/>
    </row>
    <row r="689" spans="73:82" ht="15.75">
      <c r="BU689" s="8"/>
      <c r="BZ689" s="8"/>
      <c r="CD689" s="8"/>
    </row>
    <row r="690" spans="73:82" ht="15.75">
      <c r="BU690" s="8"/>
      <c r="BZ690" s="8"/>
      <c r="CD690" s="8"/>
    </row>
    <row r="691" spans="73:82" ht="15.75">
      <c r="BU691" s="8"/>
      <c r="BZ691" s="8"/>
      <c r="CD691" s="8"/>
    </row>
    <row r="692" spans="73:82" ht="15.75">
      <c r="BU692" s="8"/>
      <c r="BZ692" s="8"/>
      <c r="CD692" s="8"/>
    </row>
    <row r="693" spans="73:82" ht="15.75">
      <c r="BU693" s="8"/>
      <c r="BZ693" s="8"/>
      <c r="CD693" s="8"/>
    </row>
    <row r="694" spans="73:82" ht="15.75">
      <c r="BU694" s="8"/>
      <c r="BZ694" s="8"/>
      <c r="CD694" s="8"/>
    </row>
    <row r="695" spans="73:82" ht="15.75">
      <c r="BU695" s="8"/>
      <c r="BZ695" s="8"/>
      <c r="CD695" s="8"/>
    </row>
    <row r="696" spans="73:82" ht="15.75">
      <c r="BU696" s="8"/>
      <c r="BZ696" s="8"/>
      <c r="CD696" s="8"/>
    </row>
    <row r="697" spans="73:82" ht="15.75">
      <c r="BU697" s="8"/>
      <c r="BZ697" s="8"/>
      <c r="CD697" s="8"/>
    </row>
    <row r="698" spans="73:82" ht="15.75">
      <c r="BU698" s="8"/>
      <c r="BZ698" s="8"/>
      <c r="CD698" s="8"/>
    </row>
    <row r="699" spans="73:82" ht="15.75">
      <c r="BU699" s="8"/>
      <c r="BZ699" s="8"/>
      <c r="CD699" s="8"/>
    </row>
    <row r="700" spans="73:82" ht="15.75">
      <c r="BU700" s="8"/>
      <c r="BZ700" s="8"/>
      <c r="CD700" s="8"/>
    </row>
    <row r="701" spans="73:82" ht="15.75">
      <c r="BU701" s="8"/>
      <c r="BZ701" s="8"/>
      <c r="CD701" s="8"/>
    </row>
    <row r="702" spans="73:82" ht="15.75">
      <c r="BU702" s="8"/>
      <c r="BZ702" s="8"/>
      <c r="CD702" s="8"/>
    </row>
    <row r="703" spans="73:82" ht="15.75">
      <c r="BU703" s="8"/>
      <c r="BZ703" s="8"/>
      <c r="CD703" s="8"/>
    </row>
    <row r="704" spans="73:82" ht="15.75">
      <c r="BU704" s="8"/>
      <c r="BZ704" s="8"/>
      <c r="CD704" s="8"/>
    </row>
    <row r="705" spans="73:82" ht="15.75">
      <c r="BU705" s="8"/>
      <c r="BZ705" s="8"/>
      <c r="CD705" s="8"/>
    </row>
    <row r="706" spans="73:82" ht="15.75">
      <c r="BU706" s="8"/>
      <c r="BZ706" s="8"/>
      <c r="CD706" s="8"/>
    </row>
    <row r="707" spans="73:82" ht="15.75">
      <c r="BU707" s="8"/>
      <c r="BZ707" s="8"/>
      <c r="CD707" s="8"/>
    </row>
    <row r="708" spans="73:82" ht="15.75">
      <c r="BU708" s="8"/>
      <c r="BZ708" s="8"/>
      <c r="CD708" s="8"/>
    </row>
    <row r="709" spans="73:82" ht="15.75">
      <c r="BU709" s="8"/>
      <c r="BZ709" s="8"/>
      <c r="CD709" s="8"/>
    </row>
    <row r="710" spans="73:82" ht="15.75">
      <c r="BU710" s="8"/>
      <c r="BZ710" s="8"/>
      <c r="CD710" s="8"/>
    </row>
    <row r="711" spans="73:82" ht="15.75">
      <c r="BU711" s="8"/>
      <c r="BZ711" s="8"/>
      <c r="CD711" s="8"/>
    </row>
    <row r="712" spans="73:82" ht="15.75">
      <c r="BU712" s="8"/>
      <c r="BZ712" s="8"/>
      <c r="CD712" s="8"/>
    </row>
    <row r="713" spans="73:82" ht="15.75">
      <c r="BU713" s="8"/>
      <c r="BZ713" s="8"/>
      <c r="CD713" s="8"/>
    </row>
    <row r="714" spans="73:82" ht="15.75">
      <c r="BU714" s="8"/>
      <c r="BZ714" s="8"/>
      <c r="CD714" s="8"/>
    </row>
    <row r="715" spans="73:82" ht="15.75">
      <c r="BU715" s="8"/>
      <c r="BZ715" s="8"/>
      <c r="CD715" s="8"/>
    </row>
    <row r="716" spans="73:82" ht="15.75">
      <c r="BU716" s="8"/>
      <c r="BZ716" s="8"/>
      <c r="CD716" s="8"/>
    </row>
    <row r="717" spans="73:82" ht="15.75">
      <c r="BU717" s="8"/>
      <c r="BZ717" s="8"/>
      <c r="CD717" s="8"/>
    </row>
    <row r="718" spans="73:82" ht="15.75">
      <c r="BU718" s="8"/>
      <c r="BZ718" s="8"/>
      <c r="CD718" s="8"/>
    </row>
    <row r="719" spans="73:82" ht="15.75">
      <c r="BU719" s="8"/>
      <c r="BZ719" s="8"/>
      <c r="CD719" s="8"/>
    </row>
    <row r="720" spans="73:82" ht="15.75">
      <c r="BU720" s="8"/>
      <c r="BZ720" s="8"/>
      <c r="CD720" s="8"/>
    </row>
    <row r="721" spans="73:82" ht="15.75">
      <c r="BU721" s="8"/>
      <c r="BZ721" s="8"/>
      <c r="CD721" s="8"/>
    </row>
    <row r="722" spans="73:82" ht="15.75">
      <c r="BU722" s="8"/>
      <c r="BZ722" s="8"/>
      <c r="CD722" s="8"/>
    </row>
    <row r="723" spans="73:82" ht="15.75">
      <c r="BU723" s="8"/>
      <c r="BZ723" s="8"/>
      <c r="CD723" s="8"/>
    </row>
    <row r="724" spans="73:82" ht="15.75">
      <c r="BU724" s="8"/>
      <c r="BZ724" s="8"/>
      <c r="CD724" s="8"/>
    </row>
    <row r="725" spans="73:82" ht="15.75">
      <c r="BU725" s="8"/>
      <c r="BZ725" s="8"/>
      <c r="CD725" s="8"/>
    </row>
    <row r="726" spans="73:82" ht="15.75">
      <c r="BU726" s="8"/>
      <c r="BZ726" s="8"/>
      <c r="CD726" s="8"/>
    </row>
    <row r="727" spans="73:82" ht="15.75">
      <c r="BU727" s="8"/>
      <c r="BZ727" s="8"/>
      <c r="CD727" s="8"/>
    </row>
    <row r="728" spans="73:82" ht="15.75">
      <c r="BU728" s="8"/>
      <c r="BZ728" s="8"/>
      <c r="CD728" s="8"/>
    </row>
    <row r="729" spans="73:82" ht="15.75">
      <c r="BU729" s="8"/>
      <c r="BZ729" s="8"/>
      <c r="CD729" s="8"/>
    </row>
    <row r="730" spans="73:82" ht="15.75">
      <c r="BU730" s="8"/>
      <c r="BZ730" s="8"/>
      <c r="CD730" s="8"/>
    </row>
    <row r="731" spans="73:82" ht="15.75">
      <c r="BU731" s="8"/>
      <c r="BZ731" s="8"/>
      <c r="CD731" s="8"/>
    </row>
    <row r="732" spans="73:82" ht="15.75">
      <c r="BU732" s="8"/>
      <c r="BZ732" s="8"/>
      <c r="CD732" s="8"/>
    </row>
    <row r="733" spans="73:82" ht="15.75">
      <c r="BU733" s="8"/>
      <c r="BZ733" s="8"/>
      <c r="CD733" s="8"/>
    </row>
    <row r="734" spans="73:82" ht="15.75">
      <c r="BU734" s="8"/>
      <c r="BZ734" s="8"/>
      <c r="CD734" s="8"/>
    </row>
    <row r="735" spans="73:82" ht="15.75">
      <c r="BU735" s="8"/>
      <c r="BZ735" s="8"/>
      <c r="CD735" s="8"/>
    </row>
    <row r="736" spans="73:82" ht="15.75">
      <c r="BU736" s="8"/>
      <c r="BZ736" s="8"/>
      <c r="CD736" s="8"/>
    </row>
    <row r="737" spans="73:82" ht="15.75">
      <c r="BU737" s="8"/>
      <c r="BZ737" s="8"/>
      <c r="CD737" s="8"/>
    </row>
    <row r="738" spans="73:82" ht="15.75">
      <c r="BU738" s="8"/>
      <c r="BZ738" s="8"/>
      <c r="CD738" s="8"/>
    </row>
    <row r="739" spans="73:82" ht="15.75">
      <c r="BU739" s="8"/>
      <c r="BZ739" s="8"/>
      <c r="CD739" s="8"/>
    </row>
    <row r="740" spans="73:82" ht="15.75">
      <c r="BU740" s="8"/>
      <c r="BZ740" s="8"/>
      <c r="CD740" s="8"/>
    </row>
    <row r="741" spans="73:82" ht="15.75">
      <c r="BU741" s="8"/>
      <c r="BZ741" s="8"/>
      <c r="CD741" s="8"/>
    </row>
    <row r="742" spans="73:82" ht="15.75">
      <c r="BU742" s="8"/>
      <c r="BZ742" s="8"/>
      <c r="CD742" s="8"/>
    </row>
    <row r="743" spans="73:82" ht="15.75">
      <c r="BU743" s="8"/>
      <c r="BZ743" s="8"/>
      <c r="CD743" s="8"/>
    </row>
    <row r="744" spans="73:82" ht="15.75">
      <c r="BU744" s="8"/>
      <c r="BZ744" s="8"/>
      <c r="CD744" s="8"/>
    </row>
    <row r="745" spans="73:82" ht="15.75">
      <c r="BU745" s="8"/>
      <c r="BZ745" s="8"/>
      <c r="CD745" s="8"/>
    </row>
    <row r="746" spans="73:82" ht="15.75">
      <c r="BU746" s="8"/>
      <c r="BZ746" s="8"/>
      <c r="CD746" s="8"/>
    </row>
    <row r="747" spans="73:82" ht="15.75">
      <c r="BU747" s="8"/>
      <c r="BZ747" s="8"/>
      <c r="CD747" s="8"/>
    </row>
    <row r="748" spans="73:82" ht="15.75">
      <c r="BU748" s="8"/>
      <c r="BZ748" s="8"/>
      <c r="CD748" s="8"/>
    </row>
    <row r="749" spans="73:82" ht="15.75">
      <c r="BU749" s="8"/>
      <c r="BZ749" s="8"/>
      <c r="CD749" s="8"/>
    </row>
    <row r="750" spans="73:82" ht="15.75">
      <c r="BU750" s="8"/>
      <c r="BZ750" s="8"/>
      <c r="CD750" s="8"/>
    </row>
    <row r="751" spans="73:82" ht="15.75">
      <c r="BU751" s="8"/>
      <c r="BZ751" s="8"/>
      <c r="CD751" s="8"/>
    </row>
    <row r="752" spans="73:82" ht="15.75">
      <c r="BU752" s="8"/>
      <c r="BZ752" s="8"/>
      <c r="CD752" s="8"/>
    </row>
    <row r="753" spans="73:82" ht="15.75">
      <c r="BU753" s="8"/>
      <c r="BZ753" s="8"/>
      <c r="CD753" s="8"/>
    </row>
    <row r="754" spans="73:82" ht="15.75">
      <c r="BU754" s="8"/>
      <c r="BZ754" s="8"/>
      <c r="CD754" s="8"/>
    </row>
    <row r="755" spans="73:82" ht="15.75">
      <c r="BU755" s="8"/>
      <c r="BZ755" s="8"/>
      <c r="CD755" s="8"/>
    </row>
    <row r="756" spans="73:82" ht="15.75">
      <c r="BU756" s="8"/>
      <c r="BZ756" s="8"/>
      <c r="CD756" s="8"/>
    </row>
    <row r="757" spans="73:82" ht="15.75">
      <c r="BU757" s="8"/>
      <c r="BZ757" s="8"/>
      <c r="CD757" s="8"/>
    </row>
    <row r="758" spans="73:82" ht="15.75">
      <c r="BU758" s="8"/>
      <c r="BZ758" s="8"/>
      <c r="CD758" s="8"/>
    </row>
    <row r="759" spans="73:82" ht="15.75">
      <c r="BU759" s="8"/>
      <c r="BZ759" s="8"/>
      <c r="CD759" s="8"/>
    </row>
    <row r="760" spans="73:82" ht="15.75">
      <c r="BU760" s="8"/>
      <c r="BZ760" s="8"/>
      <c r="CD760" s="8"/>
    </row>
    <row r="761" spans="73:82" ht="15.75">
      <c r="BU761" s="8"/>
      <c r="BZ761" s="8"/>
      <c r="CD761" s="8"/>
    </row>
    <row r="762" spans="73:82" ht="15.75">
      <c r="BU762" s="8"/>
      <c r="BZ762" s="8"/>
      <c r="CD762" s="8"/>
    </row>
    <row r="763" spans="73:82" ht="15.75">
      <c r="BU763" s="8"/>
      <c r="BZ763" s="8"/>
      <c r="CD763" s="8"/>
    </row>
    <row r="764" spans="73:82" ht="15.75">
      <c r="BU764" s="8"/>
      <c r="BZ764" s="8"/>
      <c r="CD764" s="8"/>
    </row>
    <row r="765" spans="73:82" ht="15.75">
      <c r="BU765" s="8"/>
      <c r="BZ765" s="8"/>
      <c r="CD765" s="8"/>
    </row>
    <row r="766" spans="73:82" ht="15.75">
      <c r="BU766" s="8"/>
      <c r="BZ766" s="8"/>
      <c r="CD766" s="8"/>
    </row>
    <row r="767" spans="73:82" ht="15.75">
      <c r="BU767" s="8"/>
      <c r="BZ767" s="8"/>
      <c r="CD767" s="8"/>
    </row>
    <row r="768" spans="73:82" ht="15.75">
      <c r="BU768" s="8"/>
      <c r="BZ768" s="8"/>
      <c r="CD768" s="8"/>
    </row>
    <row r="769" spans="73:82" ht="15.75">
      <c r="BU769" s="8"/>
      <c r="BZ769" s="8"/>
      <c r="CD769" s="8"/>
    </row>
    <row r="770" spans="73:82" ht="15.75">
      <c r="BU770" s="8"/>
      <c r="BZ770" s="8"/>
      <c r="CD770" s="8"/>
    </row>
    <row r="771" spans="73:82" ht="15.75">
      <c r="BU771" s="8"/>
      <c r="BZ771" s="8"/>
      <c r="CD771" s="8"/>
    </row>
    <row r="772" spans="73:82" ht="15.75">
      <c r="BU772" s="8"/>
      <c r="BZ772" s="8"/>
      <c r="CD772" s="8"/>
    </row>
    <row r="773" spans="73:82" ht="15.75">
      <c r="BU773" s="8"/>
      <c r="BZ773" s="8"/>
      <c r="CD773" s="8"/>
    </row>
    <row r="774" spans="73:82" ht="15.75">
      <c r="BU774" s="8"/>
      <c r="BZ774" s="8"/>
      <c r="CD774" s="8"/>
    </row>
    <row r="775" spans="73:82" ht="15.75">
      <c r="BU775" s="8"/>
      <c r="BZ775" s="8"/>
      <c r="CD775" s="8"/>
    </row>
    <row r="776" spans="73:82" ht="15.75">
      <c r="BU776" s="8"/>
      <c r="BZ776" s="8"/>
      <c r="CD776" s="8"/>
    </row>
    <row r="777" spans="73:82" ht="15.75">
      <c r="BU777" s="8"/>
      <c r="BZ777" s="8"/>
      <c r="CD777" s="8"/>
    </row>
    <row r="778" spans="73:82" ht="15.75">
      <c r="BU778" s="8"/>
      <c r="BZ778" s="8"/>
      <c r="CD778" s="8"/>
    </row>
    <row r="779" spans="73:82" ht="15.75">
      <c r="BU779" s="8"/>
      <c r="BZ779" s="8"/>
      <c r="CD779" s="8"/>
    </row>
    <row r="780" spans="73:82" ht="15.75">
      <c r="BU780" s="8"/>
      <c r="BZ780" s="8"/>
      <c r="CD780" s="8"/>
    </row>
    <row r="781" spans="73:82" ht="15.75">
      <c r="BU781" s="8"/>
      <c r="BZ781" s="8"/>
      <c r="CD781" s="8"/>
    </row>
    <row r="782" spans="73:82" ht="15.75">
      <c r="BU782" s="8"/>
      <c r="BZ782" s="8"/>
      <c r="CD782" s="8"/>
    </row>
    <row r="783" spans="73:82" ht="15.75">
      <c r="BU783" s="8"/>
      <c r="BZ783" s="8"/>
      <c r="CD783" s="8"/>
    </row>
    <row r="784" spans="73:82" ht="15.75">
      <c r="BU784" s="8"/>
      <c r="BZ784" s="8"/>
      <c r="CD784" s="8"/>
    </row>
    <row r="785" spans="73:82" ht="15.75">
      <c r="BU785" s="8"/>
      <c r="BZ785" s="8"/>
      <c r="CD785" s="8"/>
    </row>
    <row r="786" spans="73:82" ht="15.75">
      <c r="BU786" s="8"/>
      <c r="BZ786" s="8"/>
      <c r="CD786" s="8"/>
    </row>
    <row r="787" spans="73:82" ht="15.75">
      <c r="BU787" s="8"/>
      <c r="BZ787" s="8"/>
      <c r="CD787" s="8"/>
    </row>
    <row r="788" spans="73:82" ht="15.75">
      <c r="BU788" s="8"/>
      <c r="BZ788" s="8"/>
      <c r="CD788" s="8"/>
    </row>
    <row r="789" spans="73:82" ht="15.75">
      <c r="BU789" s="8"/>
      <c r="BZ789" s="8"/>
      <c r="CD789" s="8"/>
    </row>
    <row r="790" spans="73:82" ht="15.75">
      <c r="BU790" s="8"/>
      <c r="BZ790" s="8"/>
      <c r="CD790" s="8"/>
    </row>
    <row r="791" spans="73:82" ht="15.75">
      <c r="BU791" s="8"/>
      <c r="BZ791" s="8"/>
      <c r="CD791" s="8"/>
    </row>
    <row r="792" spans="73:82" ht="15.75">
      <c r="BU792" s="8"/>
      <c r="BZ792" s="8"/>
      <c r="CD792" s="8"/>
    </row>
    <row r="793" spans="73:82" ht="15.75">
      <c r="BU793" s="8"/>
      <c r="BZ793" s="8"/>
      <c r="CD793" s="8"/>
    </row>
    <row r="794" spans="73:82" ht="15.75">
      <c r="BU794" s="8"/>
      <c r="BZ794" s="8"/>
      <c r="CD794" s="8"/>
    </row>
    <row r="795" spans="73:82" ht="15.75">
      <c r="BU795" s="8"/>
      <c r="BZ795" s="8"/>
      <c r="CD795" s="8"/>
    </row>
    <row r="796" spans="73:82" ht="15.75">
      <c r="BU796" s="8"/>
      <c r="BZ796" s="8"/>
      <c r="CD796" s="8"/>
    </row>
    <row r="797" spans="73:82" ht="15.75">
      <c r="BU797" s="8"/>
      <c r="BZ797" s="8"/>
      <c r="CD797" s="8"/>
    </row>
    <row r="798" spans="73:82" ht="15.75">
      <c r="BU798" s="8"/>
      <c r="BZ798" s="8"/>
      <c r="CD798" s="8"/>
    </row>
    <row r="799" spans="73:82" ht="15.75">
      <c r="BU799" s="8"/>
      <c r="BZ799" s="8"/>
      <c r="CD799" s="8"/>
    </row>
    <row r="800" spans="73:82" ht="15.75">
      <c r="BU800" s="8"/>
      <c r="BZ800" s="8"/>
      <c r="CD800" s="8"/>
    </row>
    <row r="801" spans="73:82" ht="15.75">
      <c r="BU801" s="8"/>
      <c r="BZ801" s="8"/>
      <c r="CD801" s="8"/>
    </row>
    <row r="802" spans="73:82" ht="15.75">
      <c r="BU802" s="8"/>
      <c r="BZ802" s="8"/>
      <c r="CD802" s="8"/>
    </row>
    <row r="803" spans="73:82" ht="15.75">
      <c r="BU803" s="8"/>
      <c r="BZ803" s="8"/>
      <c r="CD803" s="8"/>
    </row>
    <row r="804" spans="73:82" ht="15.75">
      <c r="BU804" s="8"/>
      <c r="BZ804" s="8"/>
      <c r="CD804" s="8"/>
    </row>
    <row r="805" spans="73:82" ht="15.75">
      <c r="BU805" s="8"/>
      <c r="BZ805" s="8"/>
      <c r="CD805" s="8"/>
    </row>
    <row r="806" spans="73:82" ht="15.75">
      <c r="BU806" s="8"/>
      <c r="BZ806" s="8"/>
      <c r="CD806" s="8"/>
    </row>
    <row r="807" spans="73:82" ht="15.75">
      <c r="BU807" s="8"/>
      <c r="BZ807" s="8"/>
      <c r="CD807" s="8"/>
    </row>
    <row r="808" spans="73:82" ht="15.75">
      <c r="BU808" s="8"/>
      <c r="BZ808" s="8"/>
      <c r="CD808" s="8"/>
    </row>
    <row r="809" spans="73:82" ht="15.75">
      <c r="BU809" s="8"/>
      <c r="BZ809" s="8"/>
      <c r="CD809" s="8"/>
    </row>
    <row r="810" spans="73:82" ht="15.75">
      <c r="BU810" s="8"/>
      <c r="BZ810" s="8"/>
      <c r="CD810" s="8"/>
    </row>
    <row r="811" spans="73:82" ht="15.75">
      <c r="BU811" s="8"/>
      <c r="BZ811" s="8"/>
      <c r="CD811" s="8"/>
    </row>
    <row r="812" spans="73:82" ht="15.75">
      <c r="BU812" s="8"/>
      <c r="BZ812" s="8"/>
      <c r="CD812" s="8"/>
    </row>
    <row r="813" spans="73:82" ht="15.75">
      <c r="BU813" s="8"/>
      <c r="BZ813" s="8"/>
      <c r="CD813" s="8"/>
    </row>
    <row r="814" spans="73:82" ht="15.75">
      <c r="BU814" s="8"/>
      <c r="BZ814" s="8"/>
      <c r="CD814" s="8"/>
    </row>
    <row r="815" spans="73:82" ht="15.75">
      <c r="BU815" s="8"/>
      <c r="BZ815" s="8"/>
      <c r="CD815" s="8"/>
    </row>
    <row r="816" spans="73:82" ht="15.75">
      <c r="BU816" s="8"/>
      <c r="BZ816" s="8"/>
      <c r="CD816" s="8"/>
    </row>
    <row r="817" spans="73:82" ht="15.75">
      <c r="BU817" s="8"/>
      <c r="BZ817" s="8"/>
      <c r="CD817" s="8"/>
    </row>
    <row r="818" spans="73:82" ht="15.75">
      <c r="BU818" s="8"/>
      <c r="BZ818" s="8"/>
      <c r="CD818" s="8"/>
    </row>
    <row r="819" spans="73:82" ht="15.75">
      <c r="BU819" s="8"/>
      <c r="BZ819" s="8"/>
      <c r="CD819" s="8"/>
    </row>
    <row r="820" spans="73:82" ht="15.75">
      <c r="BU820" s="8"/>
      <c r="BZ820" s="8"/>
      <c r="CD820" s="8"/>
    </row>
    <row r="821" spans="73:82" ht="15.75">
      <c r="BU821" s="8"/>
      <c r="BZ821" s="8"/>
      <c r="CD821" s="8"/>
    </row>
    <row r="822" spans="73:82" ht="15.75">
      <c r="BU822" s="8"/>
      <c r="BZ822" s="8"/>
      <c r="CD822" s="8"/>
    </row>
    <row r="823" spans="73:82" ht="15.75">
      <c r="BU823" s="8"/>
      <c r="BZ823" s="8"/>
      <c r="CD823" s="8"/>
    </row>
    <row r="824" spans="73:82" ht="15.75">
      <c r="BU824" s="8"/>
      <c r="BZ824" s="8"/>
      <c r="CD824" s="8"/>
    </row>
    <row r="825" spans="73:82" ht="15.75">
      <c r="BU825" s="8"/>
      <c r="BZ825" s="8"/>
      <c r="CD825" s="8"/>
    </row>
    <row r="826" spans="73:82" ht="15.75">
      <c r="BU826" s="8"/>
      <c r="BZ826" s="8"/>
      <c r="CD826" s="8"/>
    </row>
    <row r="827" spans="73:82" ht="15.75">
      <c r="BU827" s="8"/>
      <c r="BZ827" s="8"/>
      <c r="CD827" s="8"/>
    </row>
    <row r="828" spans="73:82" ht="15.75">
      <c r="BU828" s="8"/>
      <c r="BZ828" s="8"/>
      <c r="CD828" s="8"/>
    </row>
    <row r="829" spans="73:82" ht="15.75">
      <c r="BU829" s="8"/>
      <c r="BZ829" s="8"/>
      <c r="CD829" s="8"/>
    </row>
    <row r="830" spans="73:82" ht="15.75">
      <c r="BU830" s="8"/>
      <c r="BZ830" s="8"/>
      <c r="CD830" s="8"/>
    </row>
    <row r="831" spans="73:82" ht="15.75">
      <c r="BU831" s="8"/>
      <c r="BZ831" s="8"/>
      <c r="CD831" s="8"/>
    </row>
    <row r="832" spans="73:82" ht="15.75">
      <c r="BU832" s="8"/>
      <c r="BZ832" s="8"/>
      <c r="CD832" s="8"/>
    </row>
    <row r="833" spans="73:82" ht="15.75">
      <c r="BU833" s="8"/>
      <c r="BZ833" s="8"/>
      <c r="CD833" s="8"/>
    </row>
    <row r="834" spans="73:82" ht="15.75">
      <c r="BU834" s="8"/>
      <c r="BZ834" s="8"/>
      <c r="CD834" s="8"/>
    </row>
    <row r="835" spans="73:82" ht="15.75">
      <c r="BU835" s="8"/>
      <c r="BZ835" s="8"/>
      <c r="CD835" s="8"/>
    </row>
    <row r="836" spans="73:82" ht="15.75">
      <c r="BU836" s="8"/>
      <c r="BZ836" s="8"/>
      <c r="CD836" s="8"/>
    </row>
    <row r="837" spans="73:82" ht="15.75">
      <c r="BU837" s="8"/>
      <c r="BZ837" s="8"/>
      <c r="CD837" s="8"/>
    </row>
    <row r="838" spans="73:82" ht="15.75">
      <c r="BU838" s="8"/>
      <c r="BZ838" s="8"/>
      <c r="CD838" s="8"/>
    </row>
    <row r="839" spans="73:82" ht="15.75">
      <c r="BU839" s="8"/>
      <c r="BZ839" s="8"/>
      <c r="CD839" s="8"/>
    </row>
    <row r="840" spans="73:82" ht="15.75">
      <c r="BU840" s="8"/>
      <c r="BZ840" s="8"/>
      <c r="CD840" s="8"/>
    </row>
    <row r="841" spans="73:82" ht="15.75">
      <c r="BU841" s="8"/>
      <c r="BZ841" s="8"/>
      <c r="CD841" s="8"/>
    </row>
    <row r="842" spans="73:82" ht="15.75">
      <c r="BU842" s="8"/>
      <c r="BZ842" s="8"/>
      <c r="CD842" s="8"/>
    </row>
    <row r="843" spans="73:82" ht="15.75">
      <c r="BU843" s="8"/>
      <c r="BZ843" s="8"/>
      <c r="CD843" s="8"/>
    </row>
    <row r="844" spans="73:82" ht="15.75">
      <c r="BU844" s="8"/>
      <c r="BZ844" s="8"/>
      <c r="CD844" s="8"/>
    </row>
    <row r="845" spans="73:82" ht="15.75">
      <c r="BU845" s="8"/>
      <c r="BZ845" s="8"/>
      <c r="CD845" s="8"/>
    </row>
    <row r="846" spans="73:82" ht="15.75">
      <c r="BU846" s="8"/>
      <c r="BZ846" s="8"/>
      <c r="CD846" s="8"/>
    </row>
    <row r="847" spans="73:82" ht="15.75">
      <c r="BU847" s="8"/>
      <c r="BZ847" s="8"/>
      <c r="CD847" s="8"/>
    </row>
    <row r="848" spans="73:82" ht="15.75">
      <c r="BU848" s="8"/>
      <c r="BZ848" s="8"/>
      <c r="CD848" s="8"/>
    </row>
    <row r="849" spans="73:82" ht="15.75">
      <c r="BU849" s="8"/>
      <c r="BZ849" s="8"/>
      <c r="CD849" s="8"/>
    </row>
    <row r="850" spans="73:82" ht="15.75">
      <c r="BU850" s="8"/>
      <c r="BZ850" s="8"/>
      <c r="CD850" s="8"/>
    </row>
    <row r="851" spans="73:82" ht="15.75">
      <c r="BU851" s="8"/>
      <c r="BZ851" s="8"/>
      <c r="CD851" s="8"/>
    </row>
    <row r="852" spans="73:82" ht="15.75">
      <c r="BU852" s="8"/>
      <c r="BZ852" s="8"/>
      <c r="CD852" s="8"/>
    </row>
    <row r="853" spans="73:82" ht="15.75">
      <c r="BU853" s="8"/>
      <c r="BZ853" s="8"/>
      <c r="CD853" s="8"/>
    </row>
    <row r="854" spans="73:82" ht="15.75">
      <c r="BU854" s="8"/>
      <c r="BZ854" s="8"/>
      <c r="CD854" s="8"/>
    </row>
    <row r="855" spans="73:82" ht="15.75">
      <c r="BU855" s="8"/>
      <c r="BZ855" s="8"/>
      <c r="CD855" s="8"/>
    </row>
    <row r="856" spans="73:82" ht="15.75">
      <c r="BU856" s="8"/>
      <c r="BZ856" s="8"/>
      <c r="CD856" s="8"/>
    </row>
    <row r="857" spans="73:82" ht="15.75">
      <c r="BU857" s="8"/>
      <c r="BZ857" s="8"/>
      <c r="CD857" s="8"/>
    </row>
    <row r="858" spans="73:82" ht="15.75">
      <c r="BU858" s="8"/>
      <c r="BZ858" s="8"/>
      <c r="CD858" s="8"/>
    </row>
    <row r="859" spans="73:82" ht="15.75">
      <c r="BU859" s="8"/>
      <c r="BZ859" s="8"/>
      <c r="CD859" s="8"/>
    </row>
    <row r="860" spans="73:82" ht="15.75">
      <c r="BU860" s="8"/>
      <c r="BZ860" s="8"/>
      <c r="CD860" s="8"/>
    </row>
    <row r="861" spans="73:82" ht="15.75">
      <c r="BU861" s="8"/>
      <c r="BZ861" s="8"/>
      <c r="CD861" s="8"/>
    </row>
    <row r="862" spans="73:82" ht="15.75">
      <c r="BU862" s="8"/>
      <c r="BZ862" s="8"/>
      <c r="CD862" s="8"/>
    </row>
    <row r="863" spans="73:82" ht="15.75">
      <c r="BU863" s="8"/>
      <c r="BZ863" s="8"/>
      <c r="CD863" s="8"/>
    </row>
    <row r="864" spans="73:82" ht="15.75">
      <c r="BU864" s="8"/>
      <c r="BZ864" s="8"/>
      <c r="CD864" s="8"/>
    </row>
    <row r="865" spans="73:82" ht="15.75">
      <c r="BU865" s="8"/>
      <c r="BZ865" s="8"/>
      <c r="CD865" s="8"/>
    </row>
    <row r="866" spans="73:82" ht="15.75">
      <c r="BU866" s="8"/>
      <c r="BZ866" s="8"/>
      <c r="CD866" s="8"/>
    </row>
    <row r="867" spans="73:82" ht="15.75">
      <c r="BU867" s="8"/>
      <c r="BZ867" s="8"/>
      <c r="CD867" s="8"/>
    </row>
    <row r="868" spans="73:82" ht="15.75">
      <c r="BU868" s="8"/>
      <c r="BZ868" s="8"/>
      <c r="CD868" s="8"/>
    </row>
    <row r="869" spans="73:82" ht="15.75">
      <c r="BU869" s="8"/>
      <c r="BZ869" s="8"/>
      <c r="CD869" s="8"/>
    </row>
    <row r="870" spans="73:82" ht="15.75">
      <c r="BU870" s="8"/>
      <c r="BZ870" s="8"/>
      <c r="CD870" s="8"/>
    </row>
    <row r="871" spans="73:82" ht="15.75">
      <c r="BU871" s="8"/>
      <c r="BZ871" s="8"/>
      <c r="CD871" s="8"/>
    </row>
    <row r="872" spans="73:82" ht="15.75">
      <c r="BU872" s="8"/>
      <c r="BZ872" s="8"/>
      <c r="CD872" s="8"/>
    </row>
    <row r="873" spans="73:82" ht="15.75">
      <c r="BU873" s="8"/>
      <c r="BZ873" s="8"/>
      <c r="CD873" s="8"/>
    </row>
    <row r="874" spans="73:82" ht="15.75">
      <c r="BU874" s="8"/>
      <c r="BZ874" s="8"/>
      <c r="CD874" s="8"/>
    </row>
    <row r="875" spans="73:82" ht="15.75">
      <c r="BU875" s="8"/>
      <c r="BZ875" s="8"/>
      <c r="CD875" s="8"/>
    </row>
    <row r="876" spans="73:82" ht="15.75">
      <c r="BU876" s="8"/>
      <c r="BZ876" s="8"/>
      <c r="CD876" s="8"/>
    </row>
    <row r="877" spans="73:82" ht="15.75">
      <c r="BU877" s="8"/>
      <c r="BZ877" s="8"/>
      <c r="CD877" s="8"/>
    </row>
    <row r="878" spans="73:82" ht="15.75">
      <c r="BU878" s="8"/>
      <c r="BZ878" s="8"/>
      <c r="CD878" s="8"/>
    </row>
    <row r="879" spans="73:82" ht="15.75">
      <c r="BU879" s="8"/>
      <c r="BZ879" s="8"/>
      <c r="CD879" s="8"/>
    </row>
    <row r="880" spans="73:82" ht="15.75">
      <c r="BU880" s="8"/>
      <c r="BZ880" s="8"/>
      <c r="CD880" s="8"/>
    </row>
    <row r="881" spans="73:82" ht="15.75">
      <c r="BU881" s="8"/>
      <c r="BZ881" s="8"/>
      <c r="CD881" s="8"/>
    </row>
    <row r="882" spans="73:82" ht="15.75">
      <c r="BU882" s="8"/>
      <c r="BZ882" s="8"/>
      <c r="CD882" s="8"/>
    </row>
    <row r="883" spans="73:82" ht="15.75">
      <c r="BU883" s="8"/>
      <c r="BZ883" s="8"/>
      <c r="CD883" s="8"/>
    </row>
    <row r="884" spans="73:82" ht="15.75">
      <c r="BU884" s="8"/>
      <c r="BZ884" s="8"/>
      <c r="CD884" s="8"/>
    </row>
    <row r="885" spans="73:82" ht="15.75">
      <c r="BU885" s="8"/>
      <c r="BZ885" s="8"/>
      <c r="CD885" s="8"/>
    </row>
    <row r="886" spans="73:82" ht="15.75">
      <c r="BU886" s="8"/>
      <c r="BZ886" s="8"/>
      <c r="CD886" s="8"/>
    </row>
    <row r="887" spans="73:82" ht="15.75">
      <c r="BU887" s="8"/>
      <c r="BZ887" s="8"/>
      <c r="CD887" s="8"/>
    </row>
    <row r="888" spans="73:82" ht="15.75">
      <c r="BU888" s="8"/>
      <c r="BZ888" s="8"/>
      <c r="CD888" s="8"/>
    </row>
    <row r="889" spans="73:82" ht="15.75">
      <c r="BU889" s="8"/>
      <c r="BZ889" s="8"/>
      <c r="CD889" s="8"/>
    </row>
    <row r="890" spans="73:82" ht="15.75">
      <c r="BU890" s="8"/>
      <c r="BZ890" s="8"/>
      <c r="CD890" s="8"/>
    </row>
    <row r="891" spans="73:82" ht="15.75">
      <c r="BU891" s="8"/>
      <c r="BZ891" s="8"/>
      <c r="CD891" s="8"/>
    </row>
    <row r="892" spans="73:82" ht="15.75">
      <c r="BU892" s="8"/>
      <c r="BZ892" s="8"/>
      <c r="CD892" s="8"/>
    </row>
    <row r="893" spans="73:82" ht="15.75">
      <c r="BU893" s="8"/>
      <c r="BZ893" s="8"/>
      <c r="CD893" s="8"/>
    </row>
    <row r="894" spans="73:82" ht="15.75">
      <c r="BU894" s="8"/>
      <c r="BZ894" s="8"/>
      <c r="CD894" s="8"/>
    </row>
    <row r="895" spans="73:82" ht="15.75">
      <c r="BU895" s="8"/>
      <c r="BZ895" s="8"/>
      <c r="CD895" s="8"/>
    </row>
    <row r="896" spans="73:82" ht="15.75">
      <c r="BU896" s="8"/>
      <c r="BZ896" s="8"/>
      <c r="CD896" s="8"/>
    </row>
    <row r="897" spans="73:82" ht="15.75">
      <c r="BU897" s="8"/>
      <c r="BZ897" s="8"/>
      <c r="CD897" s="8"/>
    </row>
    <row r="898" spans="73:82" ht="15.75">
      <c r="BU898" s="8"/>
      <c r="BZ898" s="8"/>
      <c r="CD898" s="8"/>
    </row>
    <row r="899" spans="73:82" ht="15.75">
      <c r="BU899" s="8"/>
      <c r="BZ899" s="8"/>
      <c r="CD899" s="8"/>
    </row>
    <row r="900" spans="73:82" ht="15.75">
      <c r="BU900" s="8"/>
      <c r="BZ900" s="8"/>
      <c r="CD900" s="8"/>
    </row>
    <row r="901" spans="73:82" ht="15.75">
      <c r="BU901" s="8"/>
      <c r="BZ901" s="8"/>
      <c r="CD901" s="8"/>
    </row>
    <row r="902" spans="73:82" ht="15.75">
      <c r="BU902" s="8"/>
      <c r="BZ902" s="8"/>
      <c r="CD902" s="8"/>
    </row>
    <row r="903" spans="73:82" ht="15.75">
      <c r="BU903" s="8"/>
      <c r="BZ903" s="8"/>
      <c r="CD903" s="8"/>
    </row>
    <row r="904" spans="73:82" ht="15.75">
      <c r="BU904" s="8"/>
      <c r="BZ904" s="8"/>
      <c r="CD904" s="8"/>
    </row>
    <row r="905" spans="73:82" ht="15.75">
      <c r="BU905" s="8"/>
      <c r="BZ905" s="8"/>
      <c r="CD905" s="8"/>
    </row>
    <row r="906" spans="73:82" ht="15.75">
      <c r="BU906" s="8"/>
      <c r="BZ906" s="8"/>
      <c r="CD906" s="8"/>
    </row>
    <row r="907" spans="73:82" ht="15.75">
      <c r="BU907" s="8"/>
      <c r="BZ907" s="8"/>
      <c r="CD907" s="8"/>
    </row>
    <row r="908" spans="73:82" ht="15.75">
      <c r="BU908" s="8"/>
      <c r="BZ908" s="8"/>
      <c r="CD908" s="8"/>
    </row>
    <row r="909" spans="73:82" ht="15.75">
      <c r="BU909" s="8"/>
      <c r="BZ909" s="8"/>
      <c r="CD909" s="8"/>
    </row>
    <row r="910" spans="73:82" ht="15.75">
      <c r="BU910" s="8"/>
      <c r="BZ910" s="8"/>
      <c r="CD910" s="8"/>
    </row>
    <row r="911" spans="73:82" ht="15.75">
      <c r="BU911" s="8"/>
      <c r="BZ911" s="8"/>
      <c r="CD911" s="8"/>
    </row>
    <row r="912" spans="73:82" ht="15.75">
      <c r="BU912" s="8"/>
      <c r="BZ912" s="8"/>
      <c r="CD912" s="8"/>
    </row>
    <row r="913" spans="73:82" ht="15.75">
      <c r="BU913" s="8"/>
      <c r="BZ913" s="8"/>
      <c r="CD913" s="8"/>
    </row>
    <row r="914" spans="73:82" ht="15.75">
      <c r="BU914" s="8"/>
      <c r="BZ914" s="8"/>
      <c r="CD914" s="8"/>
    </row>
    <row r="915" spans="73:82" ht="15.75">
      <c r="BU915" s="8"/>
      <c r="BZ915" s="8"/>
      <c r="CD915" s="8"/>
    </row>
    <row r="916" spans="73:82" ht="15.75">
      <c r="BU916" s="8"/>
      <c r="BZ916" s="8"/>
      <c r="CD916" s="8"/>
    </row>
    <row r="917" spans="73:82" ht="15.75">
      <c r="BU917" s="8"/>
      <c r="BZ917" s="8"/>
      <c r="CD917" s="8"/>
    </row>
    <row r="918" spans="73:82" ht="15.75">
      <c r="BU918" s="8"/>
      <c r="BZ918" s="8"/>
      <c r="CD918" s="8"/>
    </row>
    <row r="919" spans="73:82" ht="15.75">
      <c r="BU919" s="8"/>
      <c r="BZ919" s="8"/>
      <c r="CD919" s="8"/>
    </row>
    <row r="920" spans="73:82" ht="15.75">
      <c r="BU920" s="8"/>
      <c r="BZ920" s="8"/>
      <c r="CD920" s="8"/>
    </row>
    <row r="921" spans="73:82" ht="15.75">
      <c r="BU921" s="8"/>
      <c r="BZ921" s="8"/>
      <c r="CD921" s="8"/>
    </row>
    <row r="922" spans="73:82" ht="15.75">
      <c r="BU922" s="8"/>
      <c r="BZ922" s="8"/>
      <c r="CD922" s="8"/>
    </row>
    <row r="923" spans="73:82" ht="15.75">
      <c r="BU923" s="8"/>
      <c r="BZ923" s="8"/>
      <c r="CD923" s="8"/>
    </row>
    <row r="924" spans="73:82" ht="15.75">
      <c r="BU924" s="8"/>
      <c r="BZ924" s="8"/>
      <c r="CD924" s="8"/>
    </row>
    <row r="925" spans="73:82" ht="15.75">
      <c r="BU925" s="8"/>
      <c r="BZ925" s="8"/>
      <c r="CD925" s="8"/>
    </row>
    <row r="926" spans="73:82" ht="15.75">
      <c r="BU926" s="8"/>
      <c r="BZ926" s="8"/>
      <c r="CD926" s="8"/>
    </row>
    <row r="927" spans="73:82" ht="15.75">
      <c r="BU927" s="8"/>
      <c r="BZ927" s="8"/>
      <c r="CD927" s="8"/>
    </row>
    <row r="928" spans="73:82" ht="15.75">
      <c r="BU928" s="8"/>
      <c r="BZ928" s="8"/>
      <c r="CD928" s="8"/>
    </row>
    <row r="929" spans="73:82" ht="15.75">
      <c r="BU929" s="8"/>
      <c r="BZ929" s="8"/>
      <c r="CD929" s="8"/>
    </row>
    <row r="930" spans="73:82" ht="15.75">
      <c r="BU930" s="8"/>
      <c r="BZ930" s="8"/>
      <c r="CD930" s="8"/>
    </row>
    <row r="931" spans="73:82" ht="15.75">
      <c r="BU931" s="8"/>
      <c r="BZ931" s="8"/>
      <c r="CD931" s="8"/>
    </row>
    <row r="932" spans="73:82" ht="15.75">
      <c r="BU932" s="8"/>
      <c r="BZ932" s="8"/>
      <c r="CD932" s="8"/>
    </row>
    <row r="933" spans="73:82" ht="15.75">
      <c r="BU933" s="8"/>
      <c r="BZ933" s="8"/>
      <c r="CD933" s="8"/>
    </row>
    <row r="934" spans="73:82" ht="15.75">
      <c r="BU934" s="8"/>
      <c r="BZ934" s="8"/>
      <c r="CD934" s="8"/>
    </row>
    <row r="935" spans="73:82" ht="15.75">
      <c r="BU935" s="8"/>
      <c r="BZ935" s="8"/>
      <c r="CD935" s="8"/>
    </row>
    <row r="936" spans="73:82" ht="15.75">
      <c r="BU936" s="8"/>
      <c r="BZ936" s="8"/>
      <c r="CD936" s="8"/>
    </row>
    <row r="937" spans="73:82" ht="15.75">
      <c r="BU937" s="8"/>
      <c r="BZ937" s="8"/>
      <c r="CD937" s="8"/>
    </row>
    <row r="938" spans="73:82" ht="15.75">
      <c r="BU938" s="8"/>
      <c r="BZ938" s="8"/>
      <c r="CD938" s="8"/>
    </row>
    <row r="939" spans="73:82" ht="15.75">
      <c r="BU939" s="8"/>
      <c r="BZ939" s="8"/>
      <c r="CD939" s="8"/>
    </row>
    <row r="940" spans="73:82" ht="15.75">
      <c r="BU940" s="8"/>
      <c r="BZ940" s="8"/>
      <c r="CD940" s="8"/>
    </row>
    <row r="941" spans="73:82" ht="15.75">
      <c r="BU941" s="8"/>
      <c r="BZ941" s="8"/>
      <c r="CD941" s="8"/>
    </row>
    <row r="942" spans="73:82" ht="15.75">
      <c r="BU942" s="8"/>
      <c r="BZ942" s="8"/>
      <c r="CD942" s="8"/>
    </row>
    <row r="943" spans="73:82" ht="15.75">
      <c r="BU943" s="8"/>
      <c r="BZ943" s="8"/>
      <c r="CD943" s="8"/>
    </row>
    <row r="944" spans="73:82" ht="15.75">
      <c r="BU944" s="8"/>
      <c r="BZ944" s="8"/>
      <c r="CD944" s="8"/>
    </row>
    <row r="945" spans="73:82" ht="15.75">
      <c r="BU945" s="8"/>
      <c r="BZ945" s="8"/>
      <c r="CD945" s="8"/>
    </row>
    <row r="946" spans="73:82" ht="15.75">
      <c r="BU946" s="8"/>
      <c r="BZ946" s="8"/>
      <c r="CD946" s="8"/>
    </row>
    <row r="947" spans="73:82" ht="15.75">
      <c r="BU947" s="8"/>
      <c r="BZ947" s="8"/>
      <c r="CD947" s="8"/>
    </row>
    <row r="948" spans="73:82" ht="15.75">
      <c r="BU948" s="8"/>
      <c r="BZ948" s="8"/>
      <c r="CD948" s="8"/>
    </row>
    <row r="949" spans="73:82" ht="15.75">
      <c r="BU949" s="8"/>
      <c r="BZ949" s="8"/>
      <c r="CD949" s="8"/>
    </row>
    <row r="950" spans="73:82" ht="15.75">
      <c r="BU950" s="8"/>
      <c r="BZ950" s="8"/>
      <c r="CD950" s="8"/>
    </row>
    <row r="951" spans="73:82" ht="15.75">
      <c r="BU951" s="8"/>
      <c r="BZ951" s="8"/>
      <c r="CD951" s="8"/>
    </row>
    <row r="952" spans="73:82" ht="15.75">
      <c r="BU952" s="8"/>
      <c r="BZ952" s="8"/>
      <c r="CD952" s="8"/>
    </row>
    <row r="953" spans="73:82" ht="15.75">
      <c r="BU953" s="8"/>
      <c r="BZ953" s="8"/>
      <c r="CD953" s="8"/>
    </row>
    <row r="954" spans="73:82" ht="15.75">
      <c r="BU954" s="8"/>
      <c r="BZ954" s="8"/>
      <c r="CD954" s="8"/>
    </row>
    <row r="955" spans="73:82" ht="15.75">
      <c r="BU955" s="8"/>
      <c r="BZ955" s="8"/>
      <c r="CD955" s="8"/>
    </row>
    <row r="956" spans="73:82" ht="15.75">
      <c r="BU956" s="8"/>
      <c r="BZ956" s="8"/>
      <c r="CD956" s="8"/>
    </row>
    <row r="957" spans="73:82" ht="15.75">
      <c r="BU957" s="8"/>
      <c r="BZ957" s="8"/>
      <c r="CD957" s="8"/>
    </row>
    <row r="958" spans="73:82" ht="15.75">
      <c r="BU958" s="8"/>
      <c r="BZ958" s="8"/>
      <c r="CD958" s="8"/>
    </row>
    <row r="959" spans="73:82" ht="15.75">
      <c r="BU959" s="8"/>
      <c r="BZ959" s="8"/>
      <c r="CD959" s="8"/>
    </row>
    <row r="960" spans="73:82" ht="15.75">
      <c r="BU960" s="8"/>
      <c r="BZ960" s="8"/>
      <c r="CD960" s="8"/>
    </row>
    <row r="961" spans="73:82" ht="15.75">
      <c r="BU961" s="8"/>
      <c r="BZ961" s="8"/>
      <c r="CD961" s="8"/>
    </row>
    <row r="962" spans="73:82" ht="15.75">
      <c r="BU962" s="8"/>
      <c r="BZ962" s="8"/>
      <c r="CD962" s="8"/>
    </row>
    <row r="963" spans="73:82" ht="15.75">
      <c r="BU963" s="8"/>
      <c r="BZ963" s="8"/>
      <c r="CD963" s="8"/>
    </row>
    <row r="964" spans="73:82" ht="15.75">
      <c r="BU964" s="8"/>
      <c r="BZ964" s="8"/>
      <c r="CD964" s="8"/>
    </row>
    <row r="965" spans="73:82" ht="15.75">
      <c r="BU965" s="8"/>
      <c r="BZ965" s="8"/>
      <c r="CD965" s="8"/>
    </row>
    <row r="966" spans="73:82" ht="15.75">
      <c r="BU966" s="8"/>
      <c r="BZ966" s="8"/>
      <c r="CD966" s="8"/>
    </row>
    <row r="967" spans="73:82" ht="15.75">
      <c r="BU967" s="8"/>
      <c r="BZ967" s="8"/>
      <c r="CD967" s="8"/>
    </row>
    <row r="968" spans="73:82" ht="15.75">
      <c r="BU968" s="8"/>
      <c r="BZ968" s="8"/>
      <c r="CD968" s="8"/>
    </row>
    <row r="969" spans="73:82" ht="15.75">
      <c r="BU969" s="8"/>
      <c r="BZ969" s="8"/>
      <c r="CD969" s="8"/>
    </row>
    <row r="970" spans="73:82" ht="15.75">
      <c r="BU970" s="8"/>
      <c r="BZ970" s="8"/>
      <c r="CD970" s="8"/>
    </row>
    <row r="971" spans="73:82" ht="15.75">
      <c r="BU971" s="8"/>
      <c r="BZ971" s="8"/>
      <c r="CD971" s="8"/>
    </row>
    <row r="972" spans="73:82" ht="15.75">
      <c r="BU972" s="8"/>
      <c r="BZ972" s="8"/>
      <c r="CD972" s="8"/>
    </row>
    <row r="973" spans="73:82" ht="15.75">
      <c r="BU973" s="8"/>
      <c r="BZ973" s="8"/>
      <c r="CD973" s="8"/>
    </row>
    <row r="974" spans="73:82" ht="15.75">
      <c r="BU974" s="8"/>
      <c r="BZ974" s="8"/>
      <c r="CD974" s="8"/>
    </row>
    <row r="975" spans="73:82" ht="15.75">
      <c r="BU975" s="8"/>
      <c r="BZ975" s="8"/>
      <c r="CD975" s="8"/>
    </row>
    <row r="976" spans="73:82" ht="15.75">
      <c r="BU976" s="8"/>
      <c r="BZ976" s="8"/>
      <c r="CD976" s="8"/>
    </row>
    <row r="977" spans="73:82" ht="15.75">
      <c r="BU977" s="8"/>
      <c r="BZ977" s="8"/>
      <c r="CD977" s="8"/>
    </row>
    <row r="978" spans="73:82" ht="15.75">
      <c r="BU978" s="8"/>
      <c r="BZ978" s="8"/>
      <c r="CD978" s="8"/>
    </row>
    <row r="979" spans="73:82" ht="15.75">
      <c r="BU979" s="8"/>
      <c r="BZ979" s="8"/>
      <c r="CD979" s="8"/>
    </row>
    <row r="980" spans="73:82" ht="15.75">
      <c r="BU980" s="8"/>
      <c r="BZ980" s="8"/>
      <c r="CD980" s="8"/>
    </row>
    <row r="981" spans="73:82" ht="15.75">
      <c r="BU981" s="8"/>
      <c r="BZ981" s="8"/>
      <c r="CD981" s="8"/>
    </row>
    <row r="982" spans="73:82" ht="15.75">
      <c r="BU982" s="8"/>
      <c r="BZ982" s="8"/>
      <c r="CD982" s="8"/>
    </row>
    <row r="983" spans="73:82" ht="15.75">
      <c r="BU983" s="8"/>
      <c r="BZ983" s="8"/>
      <c r="CD983" s="8"/>
    </row>
    <row r="984" spans="73:82" ht="15.75">
      <c r="BU984" s="8"/>
      <c r="BZ984" s="8"/>
      <c r="CD984" s="8"/>
    </row>
    <row r="985" spans="73:82" ht="15.75">
      <c r="BU985" s="8"/>
      <c r="BZ985" s="8"/>
      <c r="CD985" s="8"/>
    </row>
    <row r="986" spans="73:82" ht="15.75">
      <c r="BU986" s="8"/>
      <c r="BZ986" s="8"/>
      <c r="CD986" s="8"/>
    </row>
    <row r="987" spans="73:82" ht="15.75">
      <c r="BU987" s="8"/>
      <c r="BZ987" s="8"/>
      <c r="CD987" s="8"/>
    </row>
    <row r="988" spans="73:82" ht="15.75">
      <c r="BU988" s="8"/>
      <c r="BZ988" s="8"/>
      <c r="CD988" s="8"/>
    </row>
    <row r="989" spans="73:82" ht="15.75">
      <c r="BU989" s="8"/>
      <c r="BZ989" s="8"/>
      <c r="CD989" s="8"/>
    </row>
    <row r="990" spans="73:82" ht="15.75">
      <c r="BU990" s="8"/>
      <c r="BZ990" s="8"/>
      <c r="CD990" s="8"/>
    </row>
    <row r="991" spans="73:82" ht="15.75">
      <c r="BU991" s="8"/>
      <c r="BZ991" s="8"/>
      <c r="CD991" s="8"/>
    </row>
    <row r="992" spans="73:82" ht="15.75">
      <c r="BU992" s="8"/>
      <c r="BZ992" s="8"/>
      <c r="CD992" s="8"/>
    </row>
    <row r="993" spans="73:82" ht="15.75">
      <c r="BU993" s="8"/>
      <c r="BZ993" s="8"/>
      <c r="CD993" s="8"/>
    </row>
    <row r="994" spans="73:82" ht="15.75">
      <c r="BU994" s="8"/>
      <c r="BZ994" s="8"/>
      <c r="CD994" s="8"/>
    </row>
    <row r="995" spans="73:82" ht="15.75">
      <c r="BU995" s="8"/>
      <c r="BZ995" s="8"/>
      <c r="CD995" s="8"/>
    </row>
    <row r="996" spans="73:82" ht="15.75">
      <c r="BU996" s="8"/>
      <c r="BZ996" s="8"/>
      <c r="CD996" s="8"/>
    </row>
    <row r="997" spans="73:82" ht="15.75">
      <c r="BU997" s="8"/>
      <c r="BZ997" s="8"/>
      <c r="CD997" s="8"/>
    </row>
    <row r="998" spans="73:82" ht="15.75">
      <c r="BU998" s="8"/>
      <c r="BZ998" s="8"/>
      <c r="CD998" s="8"/>
    </row>
    <row r="999" spans="73:82" ht="15.75">
      <c r="BU999" s="8"/>
      <c r="BZ999" s="8"/>
      <c r="CD999" s="8"/>
    </row>
    <row r="1000" spans="73:82" ht="15.75">
      <c r="BU1000" s="8"/>
      <c r="BZ1000" s="8"/>
      <c r="CD1000" s="8"/>
    </row>
    <row r="1001" spans="73:82" ht="15.75">
      <c r="BU1001" s="8"/>
      <c r="BZ1001" s="8"/>
      <c r="CD1001" s="8"/>
    </row>
    <row r="1002" spans="73:82" ht="15.75">
      <c r="BU1002" s="8"/>
      <c r="BZ1002" s="8"/>
      <c r="CD1002" s="8"/>
    </row>
    <row r="1003" spans="73:82" ht="15.75">
      <c r="BU1003" s="8"/>
      <c r="BZ1003" s="8"/>
      <c r="CD1003" s="8"/>
    </row>
    <row r="1004" spans="73:82" ht="15.75">
      <c r="BU1004" s="8"/>
      <c r="BZ1004" s="8"/>
      <c r="CD1004" s="8"/>
    </row>
    <row r="1005" spans="73:82" ht="15.75">
      <c r="BU1005" s="8"/>
      <c r="BZ1005" s="8"/>
      <c r="CD1005" s="8"/>
    </row>
    <row r="1006" spans="73:82" ht="15.75">
      <c r="BU1006" s="8"/>
      <c r="BZ1006" s="8"/>
      <c r="CD1006" s="8"/>
    </row>
    <row r="1007" spans="73:82" ht="15.75">
      <c r="BU1007" s="8"/>
      <c r="BZ1007" s="8"/>
      <c r="CD1007" s="8"/>
    </row>
    <row r="1008" spans="73:82" ht="15.75">
      <c r="BU1008" s="8"/>
      <c r="BZ1008" s="8"/>
      <c r="CD1008" s="8"/>
    </row>
    <row r="1009" spans="73:82" ht="15.75">
      <c r="BU1009" s="8"/>
      <c r="BZ1009" s="8"/>
      <c r="CD1009" s="8"/>
    </row>
    <row r="1010" spans="73:82" ht="15.75">
      <c r="BU1010" s="8"/>
      <c r="BZ1010" s="8"/>
      <c r="CD1010" s="8"/>
    </row>
    <row r="1011" spans="73:82" ht="15.75">
      <c r="BU1011" s="8"/>
      <c r="BZ1011" s="8"/>
      <c r="CD1011" s="8"/>
    </row>
    <row r="1012" spans="73:82" ht="15.75">
      <c r="BU1012" s="8"/>
      <c r="BZ1012" s="8"/>
      <c r="CD1012" s="8"/>
    </row>
    <row r="1013" spans="73:82" ht="15.75">
      <c r="BU1013" s="8"/>
      <c r="BZ1013" s="8"/>
      <c r="CD1013" s="8"/>
    </row>
    <row r="1014" spans="73:82" ht="15.75">
      <c r="BU1014" s="8"/>
      <c r="BZ1014" s="8"/>
      <c r="CD1014" s="8"/>
    </row>
    <row r="1015" spans="73:82" ht="15.75">
      <c r="BU1015" s="8"/>
      <c r="BZ1015" s="8"/>
      <c r="CD1015" s="8"/>
    </row>
    <row r="1016" spans="73:82" ht="15.75">
      <c r="BU1016" s="8"/>
      <c r="BZ1016" s="8"/>
      <c r="CD1016" s="8"/>
    </row>
    <row r="1017" spans="73:82" ht="15.75">
      <c r="BU1017" s="8"/>
      <c r="BZ1017" s="8"/>
      <c r="CD1017" s="8"/>
    </row>
    <row r="1018" spans="73:82" ht="15.75">
      <c r="BU1018" s="8"/>
      <c r="BZ1018" s="8"/>
      <c r="CD1018" s="8"/>
    </row>
    <row r="1019" spans="73:82" ht="15.75">
      <c r="BU1019" s="8"/>
      <c r="BZ1019" s="8"/>
      <c r="CD1019" s="8"/>
    </row>
    <row r="1020" spans="73:82" ht="15.75">
      <c r="BU1020" s="8"/>
      <c r="BZ1020" s="8"/>
      <c r="CD1020" s="8"/>
    </row>
    <row r="1021" spans="73:82" ht="15.75">
      <c r="BU1021" s="8"/>
      <c r="BZ1021" s="8"/>
      <c r="CD1021" s="8"/>
    </row>
    <row r="1022" spans="73:82" ht="15.75">
      <c r="BU1022" s="8"/>
      <c r="BZ1022" s="8"/>
      <c r="CD1022" s="8"/>
    </row>
    <row r="1023" spans="73:82" ht="15.75">
      <c r="BU1023" s="8"/>
      <c r="BZ1023" s="8"/>
      <c r="CD1023" s="8"/>
    </row>
    <row r="1024" spans="73:82" ht="15.75">
      <c r="BU1024" s="8"/>
      <c r="BZ1024" s="8"/>
      <c r="CD1024" s="8"/>
    </row>
    <row r="1025" spans="73:82" ht="15.75">
      <c r="BU1025" s="8"/>
      <c r="BZ1025" s="8"/>
      <c r="CD1025" s="8"/>
    </row>
    <row r="1026" spans="73:82" ht="15.75">
      <c r="BU1026" s="8"/>
      <c r="BZ1026" s="8"/>
      <c r="CD1026" s="8"/>
    </row>
    <row r="1027" spans="73:82" ht="15.75">
      <c r="BU1027" s="8"/>
      <c r="BZ1027" s="8"/>
      <c r="CD1027" s="8"/>
    </row>
    <row r="1028" spans="73:82" ht="15.75">
      <c r="BU1028" s="8"/>
      <c r="BZ1028" s="8"/>
      <c r="CD1028" s="8"/>
    </row>
    <row r="1029" spans="73:82" ht="15.75">
      <c r="BU1029" s="8"/>
      <c r="BZ1029" s="8"/>
      <c r="CD1029" s="8"/>
    </row>
    <row r="1030" spans="73:82" ht="15.75">
      <c r="BU1030" s="8"/>
      <c r="BZ1030" s="8"/>
      <c r="CD1030" s="8"/>
    </row>
    <row r="1031" spans="73:82" ht="15.75">
      <c r="BU1031" s="8"/>
      <c r="BZ1031" s="8"/>
      <c r="CD1031" s="8"/>
    </row>
    <row r="1032" spans="73:82" ht="15.75">
      <c r="BU1032" s="8"/>
      <c r="BZ1032" s="8"/>
      <c r="CD1032" s="8"/>
    </row>
    <row r="1033" spans="73:82" ht="15.75">
      <c r="BU1033" s="8"/>
      <c r="BZ1033" s="8"/>
      <c r="CD1033" s="8"/>
    </row>
    <row r="1034" spans="73:82" ht="15.75">
      <c r="BU1034" s="8"/>
      <c r="BZ1034" s="8"/>
      <c r="CD1034" s="8"/>
    </row>
    <row r="1035" spans="73:82" ht="15.75">
      <c r="BU1035" s="8"/>
      <c r="BZ1035" s="8"/>
      <c r="CD1035" s="8"/>
    </row>
    <row r="1036" spans="73:82" ht="15.75">
      <c r="BU1036" s="8"/>
      <c r="BZ1036" s="8"/>
      <c r="CD1036" s="8"/>
    </row>
    <row r="1037" spans="73:82" ht="15.75">
      <c r="BU1037" s="8"/>
      <c r="BZ1037" s="8"/>
      <c r="CD1037" s="8"/>
    </row>
    <row r="1038" spans="73:82" ht="15.75">
      <c r="BU1038" s="8"/>
      <c r="BZ1038" s="8"/>
      <c r="CD1038" s="8"/>
    </row>
    <row r="1039" spans="73:82" ht="15.75">
      <c r="BU1039" s="8"/>
      <c r="BZ1039" s="8"/>
      <c r="CD1039" s="8"/>
    </row>
    <row r="1040" spans="73:82" ht="15.75">
      <c r="BU1040" s="8"/>
      <c r="BZ1040" s="8"/>
      <c r="CD1040" s="8"/>
    </row>
    <row r="1041" spans="73:82" ht="15.75">
      <c r="BU1041" s="8"/>
      <c r="BZ1041" s="8"/>
      <c r="CD1041" s="8"/>
    </row>
    <row r="1042" spans="73:82" ht="15.75">
      <c r="BU1042" s="8"/>
      <c r="BZ1042" s="8"/>
      <c r="CD1042" s="8"/>
    </row>
    <row r="1043" spans="73:82" ht="15.75">
      <c r="BU1043" s="8"/>
      <c r="BZ1043" s="8"/>
      <c r="CD1043" s="8"/>
    </row>
    <row r="1044" spans="73:82" ht="15.75">
      <c r="BU1044" s="8"/>
      <c r="BZ1044" s="8"/>
      <c r="CD1044" s="8"/>
    </row>
    <row r="1045" spans="73:82" ht="15.75">
      <c r="BU1045" s="8"/>
      <c r="BZ1045" s="8"/>
      <c r="CD1045" s="8"/>
    </row>
    <row r="1046" spans="73:82" ht="15.75">
      <c r="BU1046" s="8"/>
      <c r="BZ1046" s="8"/>
      <c r="CD1046" s="8"/>
    </row>
    <row r="1047" spans="73:82" ht="15.75">
      <c r="BU1047" s="8"/>
      <c r="BZ1047" s="8"/>
      <c r="CD1047" s="8"/>
    </row>
    <row r="1048" spans="73:82" ht="15.75">
      <c r="BU1048" s="8"/>
      <c r="BZ1048" s="8"/>
      <c r="CD1048" s="8"/>
    </row>
    <row r="1049" spans="73:82" ht="15.75">
      <c r="BU1049" s="8"/>
      <c r="BZ1049" s="8"/>
      <c r="CD1049" s="8"/>
    </row>
    <row r="1050" spans="73:82" ht="15.75">
      <c r="BU1050" s="8"/>
      <c r="BZ1050" s="8"/>
      <c r="CD1050" s="8"/>
    </row>
    <row r="1051" spans="73:82" ht="15.75">
      <c r="BU1051" s="8"/>
      <c r="BZ1051" s="8"/>
      <c r="CD1051" s="8"/>
    </row>
    <row r="1052" spans="73:82" ht="15.75">
      <c r="BU1052" s="8"/>
      <c r="BZ1052" s="8"/>
      <c r="CD1052" s="8"/>
    </row>
    <row r="1053" spans="73:82" ht="15.75">
      <c r="BU1053" s="8"/>
      <c r="BZ1053" s="8"/>
      <c r="CD1053" s="8"/>
    </row>
    <row r="1054" spans="73:82" ht="15.75">
      <c r="BU1054" s="8"/>
      <c r="BZ1054" s="8"/>
      <c r="CD1054" s="8"/>
    </row>
    <row r="1055" spans="73:82" ht="15.75">
      <c r="BU1055" s="8"/>
      <c r="BZ1055" s="8"/>
      <c r="CD1055" s="8"/>
    </row>
    <row r="1056" spans="73:82" ht="15.75">
      <c r="BU1056" s="8"/>
      <c r="BZ1056" s="8"/>
      <c r="CD1056" s="8"/>
    </row>
    <row r="1057" spans="73:82" ht="15.75">
      <c r="BU1057" s="8"/>
      <c r="BZ1057" s="8"/>
      <c r="CD1057" s="8"/>
    </row>
    <row r="1058" spans="73:82" ht="15.75">
      <c r="BU1058" s="8"/>
      <c r="BZ1058" s="8"/>
      <c r="CD1058" s="8"/>
    </row>
    <row r="1059" spans="73:82" ht="15.75">
      <c r="BU1059" s="8"/>
      <c r="BZ1059" s="8"/>
      <c r="CD1059" s="8"/>
    </row>
    <row r="1060" spans="73:82" ht="15.75">
      <c r="BU1060" s="8"/>
      <c r="BZ1060" s="8"/>
      <c r="CD1060" s="8"/>
    </row>
    <row r="1061" spans="73:82" ht="15.75">
      <c r="BU1061" s="8"/>
      <c r="BZ1061" s="8"/>
      <c r="CD1061" s="8"/>
    </row>
    <row r="1062" spans="73:82" ht="15.75">
      <c r="BU1062" s="8"/>
      <c r="BZ1062" s="8"/>
      <c r="CD1062" s="8"/>
    </row>
    <row r="1063" spans="73:82" ht="15.75">
      <c r="BU1063" s="8"/>
      <c r="BZ1063" s="8"/>
      <c r="CD1063" s="8"/>
    </row>
    <row r="1064" spans="73:82" ht="15.75">
      <c r="BU1064" s="8"/>
      <c r="BZ1064" s="8"/>
      <c r="CD1064" s="8"/>
    </row>
    <row r="1065" spans="73:82" ht="15.75">
      <c r="BU1065" s="8"/>
      <c r="BZ1065" s="8"/>
      <c r="CD1065" s="8"/>
    </row>
    <row r="1066" spans="73:82" ht="15.75">
      <c r="BU1066" s="8"/>
      <c r="BZ1066" s="8"/>
      <c r="CD1066" s="8"/>
    </row>
    <row r="1067" spans="73:82" ht="15.75">
      <c r="BU1067" s="8"/>
      <c r="BZ1067" s="8"/>
      <c r="CD1067" s="8"/>
    </row>
    <row r="1068" spans="73:82" ht="15.75">
      <c r="BU1068" s="8"/>
      <c r="BZ1068" s="8"/>
      <c r="CD1068" s="8"/>
    </row>
    <row r="1069" spans="73:82" ht="15.75">
      <c r="BU1069" s="8"/>
      <c r="BZ1069" s="8"/>
      <c r="CD1069" s="8"/>
    </row>
    <row r="1070" spans="73:82" ht="15.75">
      <c r="BU1070" s="8"/>
      <c r="BZ1070" s="8"/>
      <c r="CD1070" s="8"/>
    </row>
    <row r="1071" spans="73:82" ht="15.75">
      <c r="BU1071" s="8"/>
      <c r="BZ1071" s="8"/>
      <c r="CD1071" s="8"/>
    </row>
    <row r="1072" spans="73:82" ht="15.75">
      <c r="BU1072" s="8"/>
      <c r="BZ1072" s="8"/>
      <c r="CD1072" s="8"/>
    </row>
    <row r="1073" spans="73:82" ht="15.75">
      <c r="BU1073" s="8"/>
      <c r="BZ1073" s="8"/>
      <c r="CD1073" s="8"/>
    </row>
    <row r="1074" spans="73:82" ht="15.75">
      <c r="BU1074" s="8"/>
      <c r="BZ1074" s="8"/>
      <c r="CD1074" s="8"/>
    </row>
    <row r="1075" spans="73:82" ht="15.75">
      <c r="BU1075" s="8"/>
      <c r="BZ1075" s="8"/>
      <c r="CD1075" s="8"/>
    </row>
    <row r="1076" spans="73:82" ht="15.75">
      <c r="BU1076" s="8"/>
      <c r="BZ1076" s="8"/>
      <c r="CD1076" s="8"/>
    </row>
    <row r="1077" spans="73:82" ht="15.75">
      <c r="BU1077" s="8"/>
      <c r="BZ1077" s="8"/>
      <c r="CD1077" s="8"/>
    </row>
    <row r="1078" spans="73:82" ht="15.75">
      <c r="BU1078" s="8"/>
      <c r="BZ1078" s="8"/>
      <c r="CD1078" s="8"/>
    </row>
    <row r="1079" spans="73:82" ht="15.75">
      <c r="BU1079" s="8"/>
      <c r="BZ1079" s="8"/>
      <c r="CD1079" s="8"/>
    </row>
    <row r="1080" spans="73:82" ht="15.75">
      <c r="BU1080" s="8"/>
      <c r="BZ1080" s="8"/>
      <c r="CD1080" s="8"/>
    </row>
    <row r="1081" spans="73:82" ht="15.75">
      <c r="BU1081" s="8"/>
      <c r="BZ1081" s="8"/>
      <c r="CD1081" s="8"/>
    </row>
    <row r="1082" spans="73:82" ht="15.75">
      <c r="BU1082" s="8"/>
      <c r="BZ1082" s="8"/>
      <c r="CD1082" s="8"/>
    </row>
    <row r="1083" spans="73:82" ht="15.75">
      <c r="BU1083" s="8"/>
      <c r="BZ1083" s="8"/>
      <c r="CD1083" s="8"/>
    </row>
    <row r="1084" spans="73:82" ht="15.75">
      <c r="BU1084" s="8"/>
      <c r="BZ1084" s="8"/>
      <c r="CD1084" s="8"/>
    </row>
    <row r="1085" spans="73:82" ht="15.75">
      <c r="BU1085" s="8"/>
      <c r="BZ1085" s="8"/>
      <c r="CD1085" s="8"/>
    </row>
    <row r="1086" spans="73:82" ht="15.75">
      <c r="BU1086" s="8"/>
      <c r="BZ1086" s="8"/>
      <c r="CD1086" s="8"/>
    </row>
    <row r="1087" spans="73:82" ht="15.75">
      <c r="BU1087" s="8"/>
      <c r="BZ1087" s="8"/>
      <c r="CD1087" s="8"/>
    </row>
    <row r="1088" spans="73:82" ht="15.75">
      <c r="BU1088" s="8"/>
      <c r="BZ1088" s="8"/>
      <c r="CD1088" s="8"/>
    </row>
    <row r="1089" spans="73:82" ht="15.75">
      <c r="BU1089" s="8"/>
      <c r="BZ1089" s="8"/>
      <c r="CD1089" s="8"/>
    </row>
    <row r="1090" spans="73:82" ht="15.75">
      <c r="BU1090" s="8"/>
      <c r="BZ1090" s="8"/>
      <c r="CD1090" s="8"/>
    </row>
    <row r="1091" spans="73:82" ht="15.75">
      <c r="BU1091" s="8"/>
      <c r="BZ1091" s="8"/>
      <c r="CD1091" s="8"/>
    </row>
    <row r="1092" spans="73:82" ht="15.75">
      <c r="BU1092" s="8"/>
      <c r="BZ1092" s="8"/>
      <c r="CD1092" s="8"/>
    </row>
    <row r="1093" spans="73:82" ht="15.75">
      <c r="BU1093" s="8"/>
      <c r="BZ1093" s="8"/>
      <c r="CD1093" s="8"/>
    </row>
    <row r="1094" spans="73:82" ht="15.75">
      <c r="BU1094" s="8"/>
      <c r="BZ1094" s="8"/>
      <c r="CD1094" s="8"/>
    </row>
    <row r="1095" spans="73:82" ht="15.75">
      <c r="BU1095" s="8"/>
      <c r="BZ1095" s="8"/>
      <c r="CD1095" s="8"/>
    </row>
    <row r="1096" spans="73:82" ht="15.75">
      <c r="BU1096" s="8"/>
      <c r="BZ1096" s="8"/>
      <c r="CD1096" s="8"/>
    </row>
    <row r="1097" spans="73:82" ht="15.75">
      <c r="BU1097" s="8"/>
      <c r="BZ1097" s="8"/>
      <c r="CD1097" s="8"/>
    </row>
    <row r="1098" spans="73:82" ht="15.75">
      <c r="BU1098" s="8"/>
      <c r="BZ1098" s="8"/>
      <c r="CD1098" s="8"/>
    </row>
    <row r="1099" spans="73:82" ht="15.75">
      <c r="BU1099" s="8"/>
      <c r="BZ1099" s="8"/>
      <c r="CD1099" s="8"/>
    </row>
    <row r="1100" spans="73:82" ht="15.75">
      <c r="BU1100" s="8"/>
      <c r="BZ1100" s="8"/>
      <c r="CD1100" s="8"/>
    </row>
    <row r="1101" spans="73:82" ht="15.75">
      <c r="BU1101" s="8"/>
      <c r="BZ1101" s="8"/>
      <c r="CD1101" s="8"/>
    </row>
    <row r="1102" spans="73:82" ht="15.75">
      <c r="BU1102" s="8"/>
      <c r="BZ1102" s="8"/>
      <c r="CD1102" s="8"/>
    </row>
    <row r="1103" spans="73:82" ht="15.75">
      <c r="BU1103" s="8"/>
      <c r="BZ1103" s="8"/>
      <c r="CD1103" s="8"/>
    </row>
    <row r="1104" spans="73:82" ht="15.75">
      <c r="BU1104" s="8"/>
      <c r="BZ1104" s="8"/>
      <c r="CD1104" s="8"/>
    </row>
    <row r="1105" spans="73:82" ht="15.75">
      <c r="BU1105" s="8"/>
      <c r="BZ1105" s="8"/>
      <c r="CD1105" s="8"/>
    </row>
    <row r="1106" spans="73:82" ht="15.75">
      <c r="BU1106" s="8"/>
      <c r="BZ1106" s="8"/>
      <c r="CD1106" s="8"/>
    </row>
    <row r="1107" spans="73:82" ht="15.75">
      <c r="BU1107" s="8"/>
      <c r="BZ1107" s="8"/>
      <c r="CD1107" s="8"/>
    </row>
    <row r="1108" spans="73:82" ht="15.75">
      <c r="BU1108" s="8"/>
      <c r="BZ1108" s="8"/>
      <c r="CD1108" s="8"/>
    </row>
    <row r="1109" spans="73:82" ht="15.75">
      <c r="BU1109" s="8"/>
      <c r="BZ1109" s="8"/>
      <c r="CD1109" s="8"/>
    </row>
    <row r="1110" spans="73:82" ht="15.75">
      <c r="BU1110" s="8"/>
      <c r="BZ1110" s="8"/>
      <c r="CD1110" s="8"/>
    </row>
    <row r="1111" spans="73:82" ht="15.75">
      <c r="BU1111" s="8"/>
      <c r="BZ1111" s="8"/>
      <c r="CD1111" s="8"/>
    </row>
    <row r="1112" spans="73:82" ht="15.75">
      <c r="BU1112" s="8"/>
      <c r="BZ1112" s="8"/>
      <c r="CD1112" s="8"/>
    </row>
    <row r="1113" spans="73:82" ht="15.75">
      <c r="BU1113" s="8"/>
      <c r="BZ1113" s="8"/>
      <c r="CD1113" s="8"/>
    </row>
    <row r="1114" spans="73:82" ht="15.75">
      <c r="BU1114" s="8"/>
      <c r="BZ1114" s="8"/>
      <c r="CD1114" s="8"/>
    </row>
    <row r="1115" spans="73:82" ht="15.75">
      <c r="BU1115" s="8"/>
      <c r="BZ1115" s="8"/>
      <c r="CD1115" s="8"/>
    </row>
    <row r="1116" spans="73:82" ht="15.75">
      <c r="BU1116" s="8"/>
      <c r="BZ1116" s="8"/>
      <c r="CD1116" s="8"/>
    </row>
    <row r="1117" spans="73:82" ht="15.75">
      <c r="BU1117" s="8"/>
      <c r="BZ1117" s="8"/>
      <c r="CD1117" s="8"/>
    </row>
    <row r="1118" spans="73:82" ht="15.75">
      <c r="BU1118" s="8"/>
      <c r="BZ1118" s="8"/>
      <c r="CD1118" s="8"/>
    </row>
    <row r="1119" spans="73:82" ht="15.75">
      <c r="BU1119" s="8"/>
      <c r="BZ1119" s="8"/>
      <c r="CD1119" s="8"/>
    </row>
    <row r="1120" spans="73:82" ht="15.75">
      <c r="BU1120" s="8"/>
      <c r="BZ1120" s="8"/>
      <c r="CD1120" s="8"/>
    </row>
    <row r="1121" spans="73:82" ht="15.75">
      <c r="BU1121" s="8"/>
      <c r="BZ1121" s="8"/>
      <c r="CD1121" s="8"/>
    </row>
    <row r="1122" spans="73:82" ht="15.75">
      <c r="BU1122" s="8"/>
      <c r="BZ1122" s="8"/>
      <c r="CD1122" s="8"/>
    </row>
    <row r="1123" spans="73:82" ht="15.75">
      <c r="BU1123" s="8"/>
      <c r="BZ1123" s="8"/>
      <c r="CD1123" s="8"/>
    </row>
    <row r="1124" spans="73:82" ht="15.75">
      <c r="BU1124" s="8"/>
      <c r="BZ1124" s="8"/>
      <c r="CD1124" s="8"/>
    </row>
    <row r="1125" spans="73:82" ht="15.75">
      <c r="BU1125" s="8"/>
      <c r="BZ1125" s="8"/>
      <c r="CD1125" s="8"/>
    </row>
    <row r="1126" spans="73:82" ht="15.75">
      <c r="BU1126" s="8"/>
      <c r="BZ1126" s="8"/>
      <c r="CD1126" s="8"/>
    </row>
    <row r="1127" spans="73:82" ht="15.75">
      <c r="BU1127" s="8"/>
      <c r="BZ1127" s="8"/>
      <c r="CD1127" s="8"/>
    </row>
    <row r="1128" spans="73:82" ht="15.75">
      <c r="BU1128" s="8"/>
      <c r="BZ1128" s="8"/>
      <c r="CD1128" s="8"/>
    </row>
    <row r="1129" spans="73:82" ht="15.75">
      <c r="BU1129" s="8"/>
      <c r="BZ1129" s="8"/>
      <c r="CD1129" s="8"/>
    </row>
    <row r="1130" spans="73:82" ht="15.75">
      <c r="BU1130" s="8"/>
      <c r="BZ1130" s="8"/>
      <c r="CD1130" s="8"/>
    </row>
    <row r="1131" spans="73:82" ht="15.75">
      <c r="BU1131" s="8"/>
      <c r="BZ1131" s="8"/>
      <c r="CD1131" s="8"/>
    </row>
    <row r="1132" spans="73:82" ht="15.75">
      <c r="BU1132" s="8"/>
      <c r="BZ1132" s="8"/>
      <c r="CD1132" s="8"/>
    </row>
    <row r="1133" spans="73:82" ht="15.75">
      <c r="BU1133" s="8"/>
      <c r="BZ1133" s="8"/>
      <c r="CD1133" s="8"/>
    </row>
    <row r="1134" spans="73:82" ht="15.75">
      <c r="BU1134" s="8"/>
      <c r="BZ1134" s="8"/>
      <c r="CD1134" s="8"/>
    </row>
    <row r="1135" spans="73:82" ht="15.75">
      <c r="BU1135" s="8"/>
      <c r="BZ1135" s="8"/>
      <c r="CD1135" s="8"/>
    </row>
    <row r="1136" spans="73:82" ht="15.75">
      <c r="BU1136" s="8"/>
      <c r="BZ1136" s="8"/>
      <c r="CD1136" s="8"/>
    </row>
    <row r="1137" spans="73:82" ht="15.75">
      <c r="BU1137" s="8"/>
      <c r="BZ1137" s="8"/>
      <c r="CD1137" s="8"/>
    </row>
    <row r="1138" spans="73:82" ht="15.75">
      <c r="BU1138" s="8"/>
      <c r="BZ1138" s="8"/>
      <c r="CD1138" s="8"/>
    </row>
    <row r="1139" spans="73:82" ht="15.75">
      <c r="BU1139" s="8"/>
      <c r="BZ1139" s="8"/>
      <c r="CD1139" s="8"/>
    </row>
    <row r="1140" spans="73:82" ht="15.75">
      <c r="BU1140" s="8"/>
      <c r="BZ1140" s="8"/>
      <c r="CD1140" s="8"/>
    </row>
    <row r="1141" spans="73:82" ht="15.75">
      <c r="BU1141" s="8"/>
      <c r="BZ1141" s="8"/>
      <c r="CD1141" s="8"/>
    </row>
    <row r="1142" spans="73:82" ht="15.75">
      <c r="BU1142" s="8"/>
      <c r="BZ1142" s="8"/>
      <c r="CD1142" s="8"/>
    </row>
    <row r="1143" spans="73:82" ht="15.75">
      <c r="BU1143" s="8"/>
      <c r="BZ1143" s="8"/>
      <c r="CD1143" s="8"/>
    </row>
    <row r="1144" spans="73:82" ht="15.75">
      <c r="BU1144" s="8"/>
      <c r="BZ1144" s="8"/>
      <c r="CD1144" s="8"/>
    </row>
    <row r="1145" spans="73:82" ht="15.75">
      <c r="BU1145" s="8"/>
      <c r="BZ1145" s="8"/>
      <c r="CD1145" s="8"/>
    </row>
    <row r="1146" spans="73:82" ht="15.75">
      <c r="BU1146" s="8"/>
      <c r="BZ1146" s="8"/>
      <c r="CD1146" s="8"/>
    </row>
    <row r="1147" spans="73:82" ht="15.75">
      <c r="BU1147" s="8"/>
      <c r="BZ1147" s="8"/>
      <c r="CD1147" s="8"/>
    </row>
    <row r="1148" spans="73:82" ht="15.75">
      <c r="BU1148" s="8"/>
      <c r="BZ1148" s="8"/>
      <c r="CD1148" s="8"/>
    </row>
    <row r="1149" spans="73:82" ht="15.75">
      <c r="BU1149" s="8"/>
      <c r="BZ1149" s="8"/>
      <c r="CD1149" s="8"/>
    </row>
    <row r="1150" spans="73:82" ht="15.75">
      <c r="BU1150" s="8"/>
      <c r="BZ1150" s="8"/>
      <c r="CD1150" s="8"/>
    </row>
    <row r="1151" spans="73:82" ht="15.75">
      <c r="BU1151" s="8"/>
      <c r="BZ1151" s="8"/>
      <c r="CD1151" s="8"/>
    </row>
    <row r="1152" spans="73:82" ht="15.75">
      <c r="BU1152" s="8"/>
      <c r="BZ1152" s="8"/>
      <c r="CD1152" s="8"/>
    </row>
    <row r="1153" spans="73:82" ht="15.75">
      <c r="BU1153" s="8"/>
      <c r="BZ1153" s="8"/>
      <c r="CD1153" s="8"/>
    </row>
    <row r="1154" spans="73:82" ht="15.75">
      <c r="BU1154" s="8"/>
      <c r="BZ1154" s="8"/>
      <c r="CD1154" s="8"/>
    </row>
    <row r="1155" spans="73:82" ht="15.75">
      <c r="BU1155" s="8"/>
      <c r="BZ1155" s="8"/>
      <c r="CD1155" s="8"/>
    </row>
    <row r="1156" spans="73:82" ht="15.75">
      <c r="BU1156" s="8"/>
      <c r="BZ1156" s="8"/>
      <c r="CD1156" s="8"/>
    </row>
    <row r="1157" spans="73:82" ht="15.75">
      <c r="BU1157" s="8"/>
      <c r="BZ1157" s="8"/>
      <c r="CD1157" s="8"/>
    </row>
    <row r="1158" spans="73:82" ht="15.75">
      <c r="BU1158" s="8"/>
      <c r="BZ1158" s="8"/>
      <c r="CD1158" s="8"/>
    </row>
    <row r="1159" spans="73:82" ht="15.75">
      <c r="BU1159" s="8"/>
      <c r="BZ1159" s="8"/>
      <c r="CD1159" s="8"/>
    </row>
    <row r="1160" spans="73:82" ht="15.75">
      <c r="BU1160" s="8"/>
      <c r="BZ1160" s="8"/>
      <c r="CD1160" s="8"/>
    </row>
    <row r="1161" spans="73:82" ht="15.75">
      <c r="BU1161" s="8"/>
      <c r="BZ1161" s="8"/>
      <c r="CD1161" s="8"/>
    </row>
    <row r="1162" spans="73:82" ht="15.75">
      <c r="BU1162" s="8"/>
      <c r="BZ1162" s="8"/>
      <c r="CD1162" s="8"/>
    </row>
    <row r="1163" spans="73:82" ht="15.75">
      <c r="BU1163" s="8"/>
      <c r="BZ1163" s="8"/>
      <c r="CD1163" s="8"/>
    </row>
    <row r="1164" spans="73:82" ht="15.75">
      <c r="BU1164" s="8"/>
      <c r="BZ1164" s="8"/>
      <c r="CD1164" s="8"/>
    </row>
    <row r="1165" spans="73:82" ht="15.75">
      <c r="BU1165" s="8"/>
      <c r="BZ1165" s="8"/>
      <c r="CD1165" s="8"/>
    </row>
    <row r="1166" spans="73:82" ht="15.75">
      <c r="BU1166" s="8"/>
      <c r="BZ1166" s="8"/>
      <c r="CD1166" s="8"/>
    </row>
    <row r="1167" spans="73:82" ht="15.75">
      <c r="BU1167" s="8"/>
      <c r="BZ1167" s="8"/>
      <c r="CD1167" s="8"/>
    </row>
    <row r="1168" spans="73:82" ht="15.75">
      <c r="BU1168" s="8"/>
      <c r="BZ1168" s="8"/>
      <c r="CD1168" s="8"/>
    </row>
    <row r="1169" spans="73:82" ht="15.75">
      <c r="BU1169" s="8"/>
      <c r="BZ1169" s="8"/>
      <c r="CD1169" s="8"/>
    </row>
    <row r="1170" spans="73:82" ht="15.75">
      <c r="BU1170" s="8"/>
      <c r="BZ1170" s="8"/>
      <c r="CD1170" s="8"/>
    </row>
    <row r="1171" spans="73:82" ht="15.75">
      <c r="BU1171" s="8"/>
      <c r="BZ1171" s="8"/>
      <c r="CD1171" s="8"/>
    </row>
    <row r="1172" spans="73:82" ht="15.75">
      <c r="BU1172" s="8"/>
      <c r="BZ1172" s="8"/>
      <c r="CD1172" s="8"/>
    </row>
    <row r="1173" spans="73:82" ht="15.75">
      <c r="BU1173" s="8"/>
      <c r="BZ1173" s="8"/>
      <c r="CD1173" s="8"/>
    </row>
    <row r="1174" spans="73:82" ht="15.75">
      <c r="BU1174" s="8"/>
      <c r="BZ1174" s="8"/>
      <c r="CD1174" s="8"/>
    </row>
    <row r="1175" spans="73:82" ht="15.75">
      <c r="BU1175" s="8"/>
      <c r="BZ1175" s="8"/>
      <c r="CD1175" s="8"/>
    </row>
    <row r="1176" spans="73:82" ht="15.75">
      <c r="BU1176" s="8"/>
      <c r="BZ1176" s="8"/>
      <c r="CD1176" s="8"/>
    </row>
    <row r="1177" spans="73:82" ht="15.75">
      <c r="BU1177" s="8"/>
      <c r="BZ1177" s="8"/>
      <c r="CD1177" s="8"/>
    </row>
    <row r="1178" spans="73:82" ht="15.75">
      <c r="BU1178" s="8"/>
      <c r="BZ1178" s="8"/>
      <c r="CD1178" s="8"/>
    </row>
    <row r="1179" spans="73:82" ht="15.75">
      <c r="BU1179" s="8"/>
      <c r="BZ1179" s="8"/>
      <c r="CD1179" s="8"/>
    </row>
    <row r="1180" spans="73:82" ht="15.75">
      <c r="BU1180" s="8"/>
      <c r="BZ1180" s="8"/>
      <c r="CD1180" s="8"/>
    </row>
    <row r="1181" spans="73:82" ht="15.75">
      <c r="BU1181" s="8"/>
      <c r="BZ1181" s="8"/>
      <c r="CD1181" s="8"/>
    </row>
    <row r="1182" spans="73:82" ht="15.75">
      <c r="BU1182" s="8"/>
      <c r="BZ1182" s="8"/>
      <c r="CD1182" s="8"/>
    </row>
    <row r="1183" spans="73:82" ht="15.75">
      <c r="BU1183" s="8"/>
      <c r="BZ1183" s="8"/>
      <c r="CD1183" s="8"/>
    </row>
    <row r="1184" spans="73:82" ht="15.75">
      <c r="BU1184" s="8"/>
      <c r="BZ1184" s="8"/>
      <c r="CD1184" s="8"/>
    </row>
    <row r="1185" spans="73:82" ht="15.75">
      <c r="BU1185" s="8"/>
      <c r="BZ1185" s="8"/>
      <c r="CD1185" s="8"/>
    </row>
    <row r="1186" spans="73:82" ht="15.75">
      <c r="BU1186" s="8"/>
      <c r="BZ1186" s="8"/>
      <c r="CD1186" s="8"/>
    </row>
    <row r="1187" spans="73:82" ht="15.75">
      <c r="BU1187" s="8"/>
      <c r="BZ1187" s="8"/>
      <c r="CD1187" s="8"/>
    </row>
    <row r="1188" spans="73:82" ht="15.75">
      <c r="BU1188" s="8"/>
      <c r="BZ1188" s="8"/>
      <c r="CD1188" s="8"/>
    </row>
    <row r="1189" spans="73:82" ht="15.75">
      <c r="BU1189" s="8"/>
      <c r="BZ1189" s="8"/>
      <c r="CD1189" s="8"/>
    </row>
    <row r="1190" spans="73:82" ht="15.75">
      <c r="BU1190" s="8"/>
      <c r="BZ1190" s="8"/>
      <c r="CD1190" s="8"/>
    </row>
    <row r="1191" spans="73:82" ht="15.75">
      <c r="BU1191" s="8"/>
      <c r="BZ1191" s="8"/>
      <c r="CD1191" s="8"/>
    </row>
    <row r="1192" spans="73:82" ht="15.75">
      <c r="BU1192" s="8"/>
      <c r="BZ1192" s="8"/>
      <c r="CD1192" s="8"/>
    </row>
    <row r="1193" spans="73:82" ht="15.75">
      <c r="BU1193" s="8"/>
      <c r="BZ1193" s="8"/>
      <c r="CD1193" s="8"/>
    </row>
    <row r="1194" spans="73:82" ht="15.75">
      <c r="BU1194" s="8"/>
      <c r="BZ1194" s="8"/>
      <c r="CD1194" s="8"/>
    </row>
    <row r="1195" spans="73:82" ht="15.75">
      <c r="BU1195" s="8"/>
      <c r="BZ1195" s="8"/>
      <c r="CD1195" s="8"/>
    </row>
    <row r="1196" spans="73:82" ht="15.75">
      <c r="BU1196" s="8"/>
      <c r="BZ1196" s="8"/>
      <c r="CD1196" s="8"/>
    </row>
    <row r="1197" spans="73:82" ht="15.75">
      <c r="BU1197" s="8"/>
      <c r="BZ1197" s="8"/>
      <c r="CD1197" s="8"/>
    </row>
    <row r="1198" spans="73:82" ht="15.75">
      <c r="BU1198" s="8"/>
      <c r="BZ1198" s="8"/>
      <c r="CD1198" s="8"/>
    </row>
    <row r="1199" spans="73:82" ht="15.75">
      <c r="BU1199" s="8"/>
      <c r="BZ1199" s="8"/>
      <c r="CD1199" s="8"/>
    </row>
    <row r="1200" spans="73:82" ht="15.75">
      <c r="BU1200" s="8"/>
      <c r="BZ1200" s="8"/>
      <c r="CD1200" s="8"/>
    </row>
    <row r="1201" spans="73:82" ht="15.75">
      <c r="BU1201" s="8"/>
      <c r="BZ1201" s="8"/>
      <c r="CD1201" s="8"/>
    </row>
    <row r="1202" spans="73:82" ht="15.75">
      <c r="BU1202" s="8"/>
      <c r="BZ1202" s="8"/>
      <c r="CD1202" s="8"/>
    </row>
    <row r="1203" spans="73:82" ht="15.75">
      <c r="BU1203" s="8"/>
      <c r="BZ1203" s="8"/>
      <c r="CD1203" s="8"/>
    </row>
    <row r="1204" spans="73:82" ht="15.75">
      <c r="BU1204" s="8"/>
      <c r="BZ1204" s="8"/>
      <c r="CD1204" s="8"/>
    </row>
    <row r="1205" spans="73:82" ht="15.75">
      <c r="BU1205" s="8"/>
      <c r="BZ1205" s="8"/>
      <c r="CD1205" s="8"/>
    </row>
    <row r="1206" spans="73:82" ht="15.75">
      <c r="BU1206" s="8"/>
      <c r="BZ1206" s="8"/>
      <c r="CD1206" s="8"/>
    </row>
    <row r="1207" spans="73:82" ht="15.75">
      <c r="BU1207" s="8"/>
      <c r="BZ1207" s="8"/>
      <c r="CD1207" s="8"/>
    </row>
    <row r="1208" spans="73:82" ht="15.75">
      <c r="BU1208" s="8"/>
      <c r="BZ1208" s="8"/>
      <c r="CD1208" s="8"/>
    </row>
    <row r="1209" spans="73:82" ht="15.75">
      <c r="BU1209" s="8"/>
      <c r="BZ1209" s="8"/>
      <c r="CD1209" s="8"/>
    </row>
    <row r="1210" spans="73:82" ht="15.75">
      <c r="BU1210" s="8"/>
      <c r="BZ1210" s="8"/>
      <c r="CD1210" s="8"/>
    </row>
    <row r="1211" spans="73:82" ht="15.75">
      <c r="BU1211" s="8"/>
      <c r="BZ1211" s="8"/>
      <c r="CD1211" s="8"/>
    </row>
    <row r="1212" spans="73:82" ht="15.75">
      <c r="BU1212" s="8"/>
      <c r="BZ1212" s="8"/>
      <c r="CD1212" s="8"/>
    </row>
    <row r="1213" spans="73:82" ht="15.75">
      <c r="BU1213" s="8"/>
      <c r="BZ1213" s="8"/>
      <c r="CD1213" s="8"/>
    </row>
    <row r="1214" spans="73:82" ht="15.75">
      <c r="BU1214" s="8"/>
      <c r="BZ1214" s="8"/>
      <c r="CD1214" s="8"/>
    </row>
    <row r="1215" spans="73:82" ht="15.75">
      <c r="BU1215" s="8"/>
      <c r="BZ1215" s="8"/>
      <c r="CD1215" s="8"/>
    </row>
    <row r="1216" spans="73:82" ht="15.75">
      <c r="BU1216" s="8"/>
      <c r="BZ1216" s="8"/>
      <c r="CD1216" s="8"/>
    </row>
    <row r="1217" spans="73:82" ht="15.75">
      <c r="BU1217" s="8"/>
      <c r="BZ1217" s="8"/>
      <c r="CD1217" s="8"/>
    </row>
    <row r="1218" spans="73:82" ht="15.75">
      <c r="BU1218" s="8"/>
      <c r="BZ1218" s="8"/>
      <c r="CD1218" s="8"/>
    </row>
    <row r="1219" spans="73:82" ht="15.75">
      <c r="BU1219" s="8"/>
      <c r="BZ1219" s="8"/>
      <c r="CD1219" s="8"/>
    </row>
    <row r="1220" spans="73:82" ht="15.75">
      <c r="BU1220" s="8"/>
      <c r="BZ1220" s="8"/>
      <c r="CD1220" s="8"/>
    </row>
    <row r="1221" spans="73:82" ht="15.75">
      <c r="BU1221" s="8"/>
      <c r="BZ1221" s="8"/>
      <c r="CD1221" s="8"/>
    </row>
    <row r="1222" spans="73:82" ht="15.75">
      <c r="BU1222" s="8"/>
      <c r="BZ1222" s="8"/>
      <c r="CD1222" s="8"/>
    </row>
    <row r="1223" spans="73:82" ht="15.75">
      <c r="BU1223" s="8"/>
      <c r="BZ1223" s="8"/>
      <c r="CD1223" s="8"/>
    </row>
    <row r="1224" spans="73:82" ht="15.75">
      <c r="BU1224" s="8"/>
      <c r="BZ1224" s="8"/>
      <c r="CD1224" s="8"/>
    </row>
    <row r="1225" spans="73:82" ht="15.75">
      <c r="BU1225" s="8"/>
      <c r="BZ1225" s="8"/>
      <c r="CD1225" s="8"/>
    </row>
    <row r="1226" spans="73:82" ht="15.75">
      <c r="BU1226" s="8"/>
      <c r="BZ1226" s="8"/>
      <c r="CD1226" s="8"/>
    </row>
    <row r="1227" spans="73:82" ht="15.75">
      <c r="BU1227" s="8"/>
      <c r="BZ1227" s="8"/>
      <c r="CD1227" s="8"/>
    </row>
    <row r="1228" spans="73:82" ht="15.75">
      <c r="BU1228" s="8"/>
      <c r="BZ1228" s="8"/>
      <c r="CD1228" s="8"/>
    </row>
    <row r="1229" spans="73:82" ht="15.75">
      <c r="BU1229" s="8"/>
      <c r="BZ1229" s="8"/>
      <c r="CD1229" s="8"/>
    </row>
    <row r="1230" spans="73:82" ht="15.75">
      <c r="BU1230" s="8"/>
      <c r="BZ1230" s="8"/>
      <c r="CD1230" s="8"/>
    </row>
    <row r="1231" spans="73:82" ht="15.75">
      <c r="BU1231" s="8"/>
      <c r="BZ1231" s="8"/>
      <c r="CD1231" s="8"/>
    </row>
    <row r="1232" spans="73:82" ht="15.75">
      <c r="BU1232" s="8"/>
      <c r="BZ1232" s="8"/>
      <c r="CD1232" s="8"/>
    </row>
    <row r="1233" spans="73:82" ht="15.75">
      <c r="BU1233" s="8"/>
      <c r="BZ1233" s="8"/>
      <c r="CD1233" s="8"/>
    </row>
    <row r="1234" spans="73:82" ht="15.75">
      <c r="BU1234" s="8"/>
      <c r="BZ1234" s="8"/>
      <c r="CD1234" s="8"/>
    </row>
    <row r="1235" spans="73:82" ht="15.75">
      <c r="BU1235" s="8"/>
      <c r="BZ1235" s="8"/>
      <c r="CD1235" s="8"/>
    </row>
    <row r="1236" spans="73:82" ht="15.75">
      <c r="BU1236" s="8"/>
      <c r="BZ1236" s="8"/>
      <c r="CD1236" s="8"/>
    </row>
    <row r="1237" spans="73:82" ht="15.75">
      <c r="BU1237" s="8"/>
      <c r="BZ1237" s="8"/>
      <c r="CD1237" s="8"/>
    </row>
    <row r="1238" spans="73:82" ht="15.75">
      <c r="BU1238" s="8"/>
      <c r="BZ1238" s="8"/>
      <c r="CD1238" s="8"/>
    </row>
    <row r="1239" spans="73:82" ht="15.75">
      <c r="BU1239" s="8"/>
      <c r="BZ1239" s="8"/>
      <c r="CD1239" s="8"/>
    </row>
    <row r="1240" spans="73:82" ht="15.75">
      <c r="BU1240" s="8"/>
      <c r="BZ1240" s="8"/>
      <c r="CD1240" s="8"/>
    </row>
    <row r="1241" spans="73:82" ht="15.75">
      <c r="BU1241" s="8"/>
      <c r="BZ1241" s="8"/>
      <c r="CD1241" s="8"/>
    </row>
    <row r="1242" spans="73:82" ht="15.75">
      <c r="BU1242" s="8"/>
      <c r="BZ1242" s="8"/>
      <c r="CD1242" s="8"/>
    </row>
    <row r="1243" spans="73:82" ht="15.75">
      <c r="BU1243" s="8"/>
      <c r="BZ1243" s="8"/>
      <c r="CD1243" s="8"/>
    </row>
    <row r="1244" spans="73:82" ht="15.75">
      <c r="BU1244" s="8"/>
      <c r="BZ1244" s="8"/>
      <c r="CD1244" s="8"/>
    </row>
    <row r="1245" spans="73:82" ht="15.75">
      <c r="BU1245" s="8"/>
      <c r="BZ1245" s="8"/>
      <c r="CD1245" s="8"/>
    </row>
    <row r="1246" spans="73:82" ht="15.75">
      <c r="BU1246" s="8"/>
      <c r="BZ1246" s="8"/>
      <c r="CD1246" s="8"/>
    </row>
    <row r="1247" spans="73:82" ht="15.75">
      <c r="BU1247" s="8"/>
      <c r="BZ1247" s="8"/>
      <c r="CD1247" s="8"/>
    </row>
    <row r="1248" spans="73:82" ht="15.75">
      <c r="BU1248" s="8"/>
      <c r="BZ1248" s="8"/>
      <c r="CD1248" s="8"/>
    </row>
    <row r="1249" spans="73:82" ht="15.75">
      <c r="BU1249" s="8"/>
      <c r="BZ1249" s="8"/>
      <c r="CD1249" s="8"/>
    </row>
    <row r="1250" spans="73:82" ht="15.75">
      <c r="BU1250" s="8"/>
      <c r="BZ1250" s="8"/>
      <c r="CD1250" s="8"/>
    </row>
    <row r="1251" spans="73:82" ht="15.75">
      <c r="BU1251" s="8"/>
      <c r="BZ1251" s="8"/>
      <c r="CD1251" s="8"/>
    </row>
    <row r="1252" spans="73:82" ht="15.75">
      <c r="BU1252" s="8"/>
      <c r="BZ1252" s="8"/>
      <c r="CD1252" s="8"/>
    </row>
    <row r="1253" spans="73:82" ht="15.75">
      <c r="BU1253" s="8"/>
      <c r="BZ1253" s="8"/>
      <c r="CD1253" s="8"/>
    </row>
    <row r="1254" spans="73:82" ht="15.75">
      <c r="BU1254" s="8"/>
      <c r="BZ1254" s="8"/>
      <c r="CD1254" s="8"/>
    </row>
    <row r="1255" spans="73:82" ht="15.75">
      <c r="BU1255" s="8"/>
      <c r="BZ1255" s="8"/>
      <c r="CD1255" s="8"/>
    </row>
    <row r="1256" spans="73:82" ht="15.75">
      <c r="BU1256" s="8"/>
      <c r="BZ1256" s="8"/>
      <c r="CD1256" s="8"/>
    </row>
    <row r="1257" spans="73:82" ht="15.75">
      <c r="BU1257" s="8"/>
      <c r="BZ1257" s="8"/>
      <c r="CD1257" s="8"/>
    </row>
    <row r="1258" spans="73:82" ht="15.75">
      <c r="BU1258" s="8"/>
      <c r="BZ1258" s="8"/>
      <c r="CD1258" s="8"/>
    </row>
    <row r="1259" spans="73:82" ht="15.75">
      <c r="BU1259" s="8"/>
      <c r="BZ1259" s="8"/>
      <c r="CD1259" s="8"/>
    </row>
    <row r="1260" spans="73:82" ht="15.75">
      <c r="BU1260" s="8"/>
      <c r="BZ1260" s="8"/>
      <c r="CD1260" s="8"/>
    </row>
    <row r="1261" spans="73:82" ht="15.75">
      <c r="BU1261" s="8"/>
      <c r="BZ1261" s="8"/>
      <c r="CD1261" s="8"/>
    </row>
    <row r="1262" spans="73:82" ht="15.75">
      <c r="BU1262" s="8"/>
      <c r="BZ1262" s="8"/>
      <c r="CD1262" s="8"/>
    </row>
    <row r="1263" spans="73:82" ht="15.75">
      <c r="BU1263" s="8"/>
      <c r="BZ1263" s="8"/>
      <c r="CD1263" s="8"/>
    </row>
    <row r="1264" spans="73:82" ht="15.75">
      <c r="BU1264" s="8"/>
      <c r="BZ1264" s="8"/>
      <c r="CD1264" s="8"/>
    </row>
    <row r="1265" spans="73:82" ht="15.75">
      <c r="BU1265" s="8"/>
      <c r="BZ1265" s="8"/>
      <c r="CD1265" s="8"/>
    </row>
    <row r="1266" spans="73:82" ht="15.75">
      <c r="BU1266" s="8"/>
      <c r="BZ1266" s="8"/>
      <c r="CD1266" s="8"/>
    </row>
    <row r="1267" spans="73:82" ht="15.75">
      <c r="BU1267" s="8"/>
      <c r="BZ1267" s="8"/>
      <c r="CD1267" s="8"/>
    </row>
    <row r="1268" spans="73:82" ht="15.75">
      <c r="BU1268" s="8"/>
      <c r="BZ1268" s="8"/>
      <c r="CD1268" s="8"/>
    </row>
    <row r="1269" spans="73:82" ht="15.75">
      <c r="BU1269" s="8"/>
      <c r="BZ1269" s="8"/>
      <c r="CD1269" s="8"/>
    </row>
    <row r="1270" spans="73:82" ht="15.75">
      <c r="BU1270" s="8"/>
      <c r="BZ1270" s="8"/>
      <c r="CD1270" s="8"/>
    </row>
    <row r="1271" spans="73:82" ht="15.75">
      <c r="BU1271" s="8"/>
      <c r="BZ1271" s="8"/>
      <c r="CD1271" s="8"/>
    </row>
    <row r="1272" spans="73:82" ht="15.75">
      <c r="BU1272" s="8"/>
      <c r="BZ1272" s="8"/>
      <c r="CD1272" s="8"/>
    </row>
    <row r="1273" spans="73:82" ht="15.75">
      <c r="BU1273" s="8"/>
      <c r="BZ1273" s="8"/>
      <c r="CD1273" s="8"/>
    </row>
    <row r="1274" spans="73:82" ht="15.75">
      <c r="BU1274" s="8"/>
      <c r="BZ1274" s="8"/>
      <c r="CD1274" s="8"/>
    </row>
    <row r="1275" spans="73:82" ht="15.75">
      <c r="BU1275" s="8"/>
      <c r="BZ1275" s="8"/>
      <c r="CD1275" s="8"/>
    </row>
    <row r="1276" spans="73:82" ht="15.75">
      <c r="BU1276" s="8"/>
      <c r="BZ1276" s="8"/>
      <c r="CD1276" s="8"/>
    </row>
    <row r="1277" spans="73:82" ht="15.75">
      <c r="BU1277" s="8"/>
      <c r="BZ1277" s="8"/>
      <c r="CD1277" s="8"/>
    </row>
    <row r="1278" spans="73:82" ht="15.75">
      <c r="BU1278" s="8"/>
      <c r="BZ1278" s="8"/>
      <c r="CD1278" s="8"/>
    </row>
    <row r="1279" spans="73:82" ht="15.75">
      <c r="BU1279" s="8"/>
      <c r="BZ1279" s="8"/>
      <c r="CD1279" s="8"/>
    </row>
    <row r="1280" spans="73:82" ht="15.75">
      <c r="BU1280" s="8"/>
      <c r="BZ1280" s="8"/>
      <c r="CD1280" s="8"/>
    </row>
    <row r="1281" spans="73:82" ht="15.75">
      <c r="BU1281" s="8"/>
      <c r="BZ1281" s="8"/>
      <c r="CD1281" s="8"/>
    </row>
    <row r="1282" spans="73:82" ht="15.75">
      <c r="BU1282" s="8"/>
      <c r="BZ1282" s="8"/>
      <c r="CD1282" s="8"/>
    </row>
    <row r="1283" spans="73:82" ht="15.75">
      <c r="BU1283" s="8"/>
      <c r="BZ1283" s="8"/>
      <c r="CD1283" s="8"/>
    </row>
    <row r="1284" spans="73:82" ht="15.75">
      <c r="BU1284" s="8"/>
      <c r="BZ1284" s="8"/>
      <c r="CD1284" s="8"/>
    </row>
    <row r="1285" spans="73:82" ht="15.75">
      <c r="BU1285" s="8"/>
      <c r="BZ1285" s="8"/>
      <c r="CD1285" s="8"/>
    </row>
    <row r="1286" spans="73:82" ht="15.75">
      <c r="BU1286" s="8"/>
      <c r="BZ1286" s="8"/>
      <c r="CD1286" s="8"/>
    </row>
    <row r="1287" spans="73:82" ht="15.75">
      <c r="BU1287" s="8"/>
      <c r="BZ1287" s="8"/>
      <c r="CD1287" s="8"/>
    </row>
    <row r="1288" spans="73:82" ht="15.75">
      <c r="BU1288" s="8"/>
      <c r="BZ1288" s="8"/>
      <c r="CD1288" s="8"/>
    </row>
    <row r="1289" spans="73:82" ht="15.75">
      <c r="BU1289" s="8"/>
      <c r="BZ1289" s="8"/>
      <c r="CD1289" s="8"/>
    </row>
    <row r="1290" spans="73:82" ht="15.75">
      <c r="BU1290" s="8"/>
      <c r="BZ1290" s="8"/>
      <c r="CD1290" s="8"/>
    </row>
    <row r="1291" spans="73:82" ht="15.75">
      <c r="BU1291" s="8"/>
      <c r="BZ1291" s="8"/>
      <c r="CD1291" s="8"/>
    </row>
    <row r="1292" spans="73:82" ht="15.75">
      <c r="BU1292" s="8"/>
      <c r="BZ1292" s="8"/>
      <c r="CD1292" s="8"/>
    </row>
    <row r="1293" spans="73:82" ht="15.75">
      <c r="BU1293" s="8"/>
      <c r="BZ1293" s="8"/>
      <c r="CD1293" s="8"/>
    </row>
    <row r="1294" spans="73:82" ht="15.75">
      <c r="BU1294" s="8"/>
      <c r="BZ1294" s="8"/>
      <c r="CD1294" s="8"/>
    </row>
    <row r="1295" spans="73:82" ht="15.75">
      <c r="BU1295" s="8"/>
      <c r="BZ1295" s="8"/>
      <c r="CD1295" s="8"/>
    </row>
    <row r="1296" spans="73:82" ht="15.75">
      <c r="BU1296" s="8"/>
      <c r="BZ1296" s="8"/>
      <c r="CD1296" s="8"/>
    </row>
    <row r="1297" spans="73:82" ht="15.75">
      <c r="BU1297" s="8"/>
      <c r="BZ1297" s="8"/>
      <c r="CD1297" s="8"/>
    </row>
    <row r="1298" spans="73:82" ht="15.75">
      <c r="BU1298" s="8"/>
      <c r="BZ1298" s="8"/>
      <c r="CD1298" s="8"/>
    </row>
    <row r="1299" spans="73:82" ht="15.75">
      <c r="BU1299" s="8"/>
      <c r="BZ1299" s="8"/>
      <c r="CD1299" s="8"/>
    </row>
    <row r="1300" spans="73:82" ht="15.75">
      <c r="BU1300" s="8"/>
      <c r="BZ1300" s="8"/>
      <c r="CD1300" s="8"/>
    </row>
    <row r="1301" spans="73:82" ht="15.75">
      <c r="BU1301" s="8"/>
      <c r="BZ1301" s="8"/>
      <c r="CD1301" s="8"/>
    </row>
    <row r="1302" spans="73:82" ht="15.75">
      <c r="BU1302" s="8"/>
      <c r="BZ1302" s="8"/>
      <c r="CD1302" s="8"/>
    </row>
    <row r="1303" spans="73:82" ht="15.75">
      <c r="BU1303" s="8"/>
      <c r="BZ1303" s="8"/>
      <c r="CD1303" s="8"/>
    </row>
    <row r="1304" spans="73:82" ht="15.75">
      <c r="BU1304" s="8"/>
      <c r="BZ1304" s="8"/>
      <c r="CD1304" s="8"/>
    </row>
    <row r="1305" spans="73:82" ht="15.75">
      <c r="BU1305" s="8"/>
      <c r="BZ1305" s="8"/>
      <c r="CD1305" s="8"/>
    </row>
    <row r="1306" spans="73:82" ht="15.75">
      <c r="BU1306" s="8"/>
      <c r="BZ1306" s="8"/>
      <c r="CD1306" s="8"/>
    </row>
    <row r="1307" spans="73:82" ht="15.75">
      <c r="BU1307" s="8"/>
      <c r="BZ1307" s="8"/>
      <c r="CD1307" s="8"/>
    </row>
    <row r="1308" spans="73:82" ht="15.75">
      <c r="BU1308" s="8"/>
      <c r="BZ1308" s="8"/>
      <c r="CD1308" s="8"/>
    </row>
    <row r="1309" spans="73:82" ht="15.75">
      <c r="BU1309" s="8"/>
      <c r="BZ1309" s="8"/>
      <c r="CD1309" s="8"/>
    </row>
    <row r="1310" spans="73:82" ht="15.75">
      <c r="BU1310" s="8"/>
      <c r="BZ1310" s="8"/>
      <c r="CD1310" s="8"/>
    </row>
    <row r="1311" spans="73:82" ht="15.75">
      <c r="BU1311" s="8"/>
      <c r="BZ1311" s="8"/>
      <c r="CD1311" s="8"/>
    </row>
    <row r="1312" spans="73:82" ht="15.75">
      <c r="BU1312" s="8"/>
      <c r="BZ1312" s="8"/>
      <c r="CD1312" s="8"/>
    </row>
    <row r="1313" spans="73:82" ht="15.75">
      <c r="BU1313" s="8"/>
      <c r="BZ1313" s="8"/>
      <c r="CD1313" s="8"/>
    </row>
    <row r="1314" spans="73:82" ht="15.75">
      <c r="BU1314" s="8"/>
      <c r="BZ1314" s="8"/>
      <c r="CD1314" s="8"/>
    </row>
    <row r="1315" spans="73:82" ht="15.75">
      <c r="BU1315" s="8"/>
      <c r="BZ1315" s="8"/>
      <c r="CD1315" s="8"/>
    </row>
    <row r="1316" spans="73:82" ht="15.75">
      <c r="BU1316" s="8"/>
      <c r="BZ1316" s="8"/>
      <c r="CD1316" s="8"/>
    </row>
    <row r="1317" spans="73:82" ht="15.75">
      <c r="BU1317" s="8"/>
      <c r="BZ1317" s="8"/>
      <c r="CD1317" s="8"/>
    </row>
    <row r="1318" spans="73:82" ht="15.75">
      <c r="BU1318" s="8"/>
      <c r="BZ1318" s="8"/>
      <c r="CD1318" s="8"/>
    </row>
    <row r="1319" spans="73:82" ht="15.75">
      <c r="BU1319" s="8"/>
      <c r="BZ1319" s="8"/>
      <c r="CD1319" s="8"/>
    </row>
    <row r="1320" spans="73:82" ht="15.75">
      <c r="BU1320" s="8"/>
      <c r="BZ1320" s="8"/>
      <c r="CD1320" s="8"/>
    </row>
    <row r="1321" spans="73:82" ht="15.75">
      <c r="BU1321" s="8"/>
      <c r="BZ1321" s="8"/>
      <c r="CD1321" s="8"/>
    </row>
    <row r="1322" spans="73:82" ht="15.75">
      <c r="BU1322" s="8"/>
      <c r="BZ1322" s="8"/>
      <c r="CD1322" s="8"/>
    </row>
    <row r="1323" spans="73:82" ht="15.75">
      <c r="BU1323" s="8"/>
      <c r="BZ1323" s="8"/>
      <c r="CD1323" s="8"/>
    </row>
    <row r="1324" spans="73:82" ht="15.75">
      <c r="BU1324" s="8"/>
      <c r="BZ1324" s="8"/>
      <c r="CD1324" s="8"/>
    </row>
    <row r="1325" spans="73:82" ht="15.75">
      <c r="BU1325" s="8"/>
      <c r="BZ1325" s="8"/>
      <c r="CD1325" s="8"/>
    </row>
    <row r="1326" spans="73:82" ht="15.75">
      <c r="BU1326" s="8"/>
      <c r="BZ1326" s="8"/>
      <c r="CD1326" s="8"/>
    </row>
    <row r="1327" spans="73:82" ht="15.75">
      <c r="BU1327" s="8"/>
      <c r="BZ1327" s="8"/>
      <c r="CD1327" s="8"/>
    </row>
    <row r="1328" spans="73:82" ht="15.75">
      <c r="BU1328" s="8"/>
      <c r="BZ1328" s="8"/>
      <c r="CD1328" s="8"/>
    </row>
    <row r="1329" spans="73:82" ht="15.75">
      <c r="BU1329" s="8"/>
      <c r="BZ1329" s="8"/>
      <c r="CD1329" s="8"/>
    </row>
    <row r="1330" spans="73:82" ht="15.75">
      <c r="BU1330" s="8"/>
      <c r="BZ1330" s="8"/>
      <c r="CD1330" s="8"/>
    </row>
    <row r="1331" spans="73:82" ht="15.75">
      <c r="BU1331" s="8"/>
      <c r="BZ1331" s="8"/>
      <c r="CD1331" s="8"/>
    </row>
    <row r="1332" spans="73:82" ht="15.75">
      <c r="BU1332" s="8"/>
      <c r="BZ1332" s="8"/>
      <c r="CD1332" s="8"/>
    </row>
    <row r="1333" spans="73:82" ht="15.75">
      <c r="BU1333" s="8"/>
      <c r="BZ1333" s="8"/>
      <c r="CD1333" s="8"/>
    </row>
    <row r="1334" spans="73:82" ht="15.75">
      <c r="BU1334" s="8"/>
      <c r="BZ1334" s="8"/>
      <c r="CD1334" s="8"/>
    </row>
    <row r="1335" spans="73:82" ht="15.75">
      <c r="BU1335" s="8"/>
      <c r="BZ1335" s="8"/>
      <c r="CD1335" s="8"/>
    </row>
    <row r="1336" spans="73:82" ht="15.75">
      <c r="BU1336" s="8"/>
      <c r="BZ1336" s="8"/>
      <c r="CD1336" s="8"/>
    </row>
    <row r="1337" spans="73:82" ht="15.75">
      <c r="BU1337" s="8"/>
      <c r="BZ1337" s="8"/>
      <c r="CD1337" s="8"/>
    </row>
    <row r="1338" spans="73:82" ht="15.75">
      <c r="BU1338" s="8"/>
      <c r="BZ1338" s="8"/>
      <c r="CD1338" s="8"/>
    </row>
    <row r="1339" spans="73:82" ht="15.75">
      <c r="BU1339" s="8"/>
      <c r="BZ1339" s="8"/>
      <c r="CD1339" s="8"/>
    </row>
    <row r="1340" spans="73:82" ht="15.75">
      <c r="BU1340" s="8"/>
      <c r="BZ1340" s="8"/>
      <c r="CD1340" s="8"/>
    </row>
    <row r="1341" spans="73:82" ht="15.75">
      <c r="BU1341" s="8"/>
      <c r="BZ1341" s="8"/>
      <c r="CD1341" s="8"/>
    </row>
    <row r="1342" spans="73:82" ht="15.75">
      <c r="BU1342" s="8"/>
      <c r="BZ1342" s="8"/>
      <c r="CD1342" s="8"/>
    </row>
    <row r="1343" spans="73:82" ht="15.75">
      <c r="BU1343" s="8"/>
      <c r="BZ1343" s="8"/>
      <c r="CD1343" s="8"/>
    </row>
    <row r="1344" spans="73:82" ht="15.75">
      <c r="BU1344" s="8"/>
      <c r="BZ1344" s="8"/>
      <c r="CD1344" s="8"/>
    </row>
    <row r="1345" spans="73:82" ht="15.75">
      <c r="BU1345" s="8"/>
      <c r="BZ1345" s="8"/>
      <c r="CD1345" s="8"/>
    </row>
    <row r="1346" spans="73:82" ht="15.75">
      <c r="BU1346" s="8"/>
      <c r="BZ1346" s="8"/>
      <c r="CD1346" s="8"/>
    </row>
    <row r="1347" spans="73:82" ht="15.75">
      <c r="BU1347" s="8"/>
      <c r="BZ1347" s="8"/>
      <c r="CD1347" s="8"/>
    </row>
    <row r="1348" spans="73:82" ht="15.75">
      <c r="BU1348" s="8"/>
      <c r="BZ1348" s="8"/>
      <c r="CD1348" s="8"/>
    </row>
    <row r="1349" spans="73:82" ht="15.75">
      <c r="BU1349" s="8"/>
      <c r="BZ1349" s="8"/>
      <c r="CD1349" s="8"/>
    </row>
    <row r="1350" spans="73:82" ht="15.75">
      <c r="BU1350" s="8"/>
      <c r="BZ1350" s="8"/>
      <c r="CD1350" s="8"/>
    </row>
    <row r="1351" spans="73:82" ht="15.75">
      <c r="BU1351" s="8"/>
      <c r="BZ1351" s="8"/>
      <c r="CD1351" s="8"/>
    </row>
    <row r="1352" spans="73:82" ht="15.75">
      <c r="BU1352" s="8"/>
      <c r="BZ1352" s="8"/>
      <c r="CD1352" s="8"/>
    </row>
    <row r="1353" spans="73:82" ht="15.75">
      <c r="BU1353" s="8"/>
      <c r="BZ1353" s="8"/>
      <c r="CD1353" s="8"/>
    </row>
    <row r="1354" spans="73:82" ht="15.75">
      <c r="BU1354" s="8"/>
      <c r="BZ1354" s="8"/>
      <c r="CD1354" s="8"/>
    </row>
    <row r="1355" spans="73:82" ht="15.75">
      <c r="BU1355" s="8"/>
      <c r="BZ1355" s="8"/>
      <c r="CD1355" s="8"/>
    </row>
    <row r="1356" spans="73:82" ht="15.75">
      <c r="BU1356" s="8"/>
      <c r="BZ1356" s="8"/>
      <c r="CD1356" s="8"/>
    </row>
    <row r="1357" spans="73:82" ht="15.75">
      <c r="BU1357" s="8"/>
      <c r="BZ1357" s="8"/>
      <c r="CD1357" s="8"/>
    </row>
    <row r="1358" spans="73:82" ht="15.75">
      <c r="BU1358" s="8"/>
      <c r="BZ1358" s="8"/>
      <c r="CD1358" s="8"/>
    </row>
    <row r="1359" spans="73:82" ht="15.75">
      <c r="BU1359" s="8"/>
      <c r="BZ1359" s="8"/>
      <c r="CD1359" s="8"/>
    </row>
    <row r="1360" spans="73:82" ht="15.75">
      <c r="BU1360" s="8"/>
      <c r="BZ1360" s="8"/>
      <c r="CD1360" s="8"/>
    </row>
    <row r="1361" spans="73:82" ht="15.75">
      <c r="BU1361" s="8"/>
      <c r="BZ1361" s="8"/>
      <c r="CD1361" s="8"/>
    </row>
    <row r="1362" spans="73:82" ht="15.75">
      <c r="BU1362" s="8"/>
      <c r="BZ1362" s="8"/>
      <c r="CD1362" s="8"/>
    </row>
    <row r="1363" spans="73:82" ht="15.75">
      <c r="BU1363" s="8"/>
      <c r="BZ1363" s="8"/>
      <c r="CD1363" s="8"/>
    </row>
    <row r="1364" spans="73:82" ht="15.75">
      <c r="BU1364" s="8"/>
      <c r="BZ1364" s="8"/>
      <c r="CD1364" s="8"/>
    </row>
    <row r="1365" spans="73:82" ht="15.75">
      <c r="BU1365" s="8"/>
      <c r="BZ1365" s="8"/>
      <c r="CD1365" s="8"/>
    </row>
    <row r="1366" spans="73:82" ht="15.75">
      <c r="BU1366" s="8"/>
      <c r="BZ1366" s="8"/>
      <c r="CD1366" s="8"/>
    </row>
    <row r="1367" spans="73:82" ht="15.75">
      <c r="BU1367" s="8"/>
      <c r="BZ1367" s="8"/>
      <c r="CD1367" s="8"/>
    </row>
    <row r="1368" spans="73:82" ht="15.75">
      <c r="BU1368" s="8"/>
      <c r="BZ1368" s="8"/>
      <c r="CD1368" s="8"/>
    </row>
    <row r="1369" spans="73:82" ht="15.75">
      <c r="BU1369" s="8"/>
      <c r="BZ1369" s="8"/>
      <c r="CD1369" s="8"/>
    </row>
    <row r="1370" spans="73:82" ht="15.75">
      <c r="BU1370" s="8"/>
      <c r="BZ1370" s="8"/>
      <c r="CD1370" s="8"/>
    </row>
    <row r="1371" spans="73:82" ht="15.75">
      <c r="BU1371" s="8"/>
      <c r="BZ1371" s="8"/>
      <c r="CD1371" s="8"/>
    </row>
    <row r="1372" spans="73:82" ht="15.75">
      <c r="BU1372" s="8"/>
      <c r="BZ1372" s="8"/>
      <c r="CD1372" s="8"/>
    </row>
    <row r="1373" spans="73:82" ht="15.75">
      <c r="BU1373" s="8"/>
      <c r="BZ1373" s="8"/>
      <c r="CD1373" s="8"/>
    </row>
    <row r="1374" spans="73:82" ht="15.75">
      <c r="BU1374" s="8"/>
      <c r="BZ1374" s="8"/>
      <c r="CD1374" s="8"/>
    </row>
    <row r="1375" spans="73:82" ht="15.75">
      <c r="BU1375" s="8"/>
      <c r="BZ1375" s="8"/>
      <c r="CD1375" s="8"/>
    </row>
    <row r="1376" spans="73:82" ht="15.75">
      <c r="BU1376" s="8"/>
      <c r="BZ1376" s="8"/>
      <c r="CD1376" s="8"/>
    </row>
    <row r="1377" spans="73:82" ht="15.75">
      <c r="BU1377" s="8"/>
      <c r="BZ1377" s="8"/>
      <c r="CD1377" s="8"/>
    </row>
    <row r="1378" spans="73:82" ht="15.75">
      <c r="BU1378" s="8"/>
      <c r="BZ1378" s="8"/>
      <c r="CD1378" s="8"/>
    </row>
    <row r="1379" spans="73:82" ht="15.75">
      <c r="BU1379" s="8"/>
      <c r="BZ1379" s="8"/>
      <c r="CD1379" s="8"/>
    </row>
    <row r="1380" spans="73:82" ht="15.75">
      <c r="BU1380" s="8"/>
      <c r="BZ1380" s="8"/>
      <c r="CD1380" s="8"/>
    </row>
    <row r="1381" spans="73:82" ht="15.75">
      <c r="BU1381" s="8"/>
      <c r="BZ1381" s="8"/>
      <c r="CD1381" s="8"/>
    </row>
    <row r="1382" spans="73:82" ht="15.75">
      <c r="BU1382" s="8"/>
      <c r="BZ1382" s="8"/>
      <c r="CD1382" s="8"/>
    </row>
    <row r="1383" spans="73:82" ht="15.75">
      <c r="BU1383" s="8"/>
      <c r="BZ1383" s="8"/>
      <c r="CD1383" s="8"/>
    </row>
    <row r="1384" spans="73:82" ht="15.75">
      <c r="BU1384" s="8"/>
      <c r="BZ1384" s="8"/>
      <c r="CD1384" s="8"/>
    </row>
    <row r="1385" spans="73:82" ht="15.75">
      <c r="BU1385" s="8"/>
      <c r="BZ1385" s="8"/>
      <c r="CD1385" s="8"/>
    </row>
    <row r="1386" spans="73:82" ht="15.75">
      <c r="BU1386" s="8"/>
      <c r="BZ1386" s="8"/>
      <c r="CD1386" s="8"/>
    </row>
    <row r="1387" spans="73:82" ht="15.75">
      <c r="BU1387" s="8"/>
      <c r="BZ1387" s="8"/>
      <c r="CD1387" s="8"/>
    </row>
    <row r="1388" spans="73:82" ht="15.75">
      <c r="BU1388" s="8"/>
      <c r="BZ1388" s="8"/>
      <c r="CD1388" s="8"/>
    </row>
    <row r="1389" spans="73:82" ht="15.75">
      <c r="BU1389" s="8"/>
      <c r="BZ1389" s="8"/>
      <c r="CD1389" s="8"/>
    </row>
    <row r="1390" spans="73:82" ht="15.75">
      <c r="BU1390" s="8"/>
      <c r="BZ1390" s="8"/>
      <c r="CD1390" s="8"/>
    </row>
    <row r="1391" spans="73:82" ht="15.75">
      <c r="BU1391" s="8"/>
      <c r="BZ1391" s="8"/>
      <c r="CD1391" s="8"/>
    </row>
    <row r="1392" spans="73:82" ht="15.75">
      <c r="BU1392" s="8"/>
      <c r="BZ1392" s="8"/>
      <c r="CD1392" s="8"/>
    </row>
    <row r="1393" spans="73:82" ht="15.75">
      <c r="BU1393" s="8"/>
      <c r="BZ1393" s="8"/>
      <c r="CD1393" s="8"/>
    </row>
    <row r="1394" spans="73:82" ht="15.75">
      <c r="BU1394" s="8"/>
      <c r="BZ1394" s="8"/>
      <c r="CD1394" s="8"/>
    </row>
    <row r="1395" spans="73:82" ht="15.75">
      <c r="BU1395" s="8"/>
      <c r="BZ1395" s="8"/>
      <c r="CD1395" s="8"/>
    </row>
    <row r="1396" spans="73:82" ht="15.75">
      <c r="BU1396" s="8"/>
      <c r="BZ1396" s="8"/>
      <c r="CD1396" s="8"/>
    </row>
    <row r="1397" spans="73:82" ht="15.75">
      <c r="BU1397" s="8"/>
      <c r="BZ1397" s="8"/>
      <c r="CD1397" s="8"/>
    </row>
    <row r="1398" spans="73:82" ht="15.75">
      <c r="BU1398" s="8"/>
      <c r="BZ1398" s="8"/>
      <c r="CD1398" s="8"/>
    </row>
    <row r="1399" spans="73:82" ht="15.75">
      <c r="BU1399" s="8"/>
      <c r="BZ1399" s="8"/>
      <c r="CD1399" s="8"/>
    </row>
    <row r="1400" spans="73:82" ht="15.75">
      <c r="BU1400" s="8"/>
      <c r="BZ1400" s="8"/>
      <c r="CD1400" s="8"/>
    </row>
    <row r="1401" spans="73:82" ht="15.75">
      <c r="BU1401" s="8"/>
      <c r="BZ1401" s="8"/>
      <c r="CD1401" s="8"/>
    </row>
    <row r="1402" spans="73:82" ht="15.75">
      <c r="BU1402" s="8"/>
      <c r="BZ1402" s="8"/>
      <c r="CD1402" s="8"/>
    </row>
    <row r="1403" spans="73:82" ht="15.75">
      <c r="BU1403" s="8"/>
      <c r="BZ1403" s="8"/>
      <c r="CD1403" s="8"/>
    </row>
    <row r="1404" spans="73:82" ht="15.75">
      <c r="BU1404" s="8"/>
      <c r="BZ1404" s="8"/>
      <c r="CD1404" s="8"/>
    </row>
    <row r="1405" spans="73:82" ht="15.75">
      <c r="BU1405" s="8"/>
      <c r="BZ1405" s="8"/>
      <c r="CD1405" s="8"/>
    </row>
    <row r="1406" spans="73:82" ht="15.75">
      <c r="BU1406" s="8"/>
      <c r="BZ1406" s="8"/>
      <c r="CD1406" s="8"/>
    </row>
    <row r="1407" spans="73:82" ht="15.75">
      <c r="BU1407" s="8"/>
      <c r="BZ1407" s="8"/>
      <c r="CD1407" s="8"/>
    </row>
    <row r="1408" spans="73:82" ht="15.75">
      <c r="BU1408" s="8"/>
      <c r="BZ1408" s="8"/>
      <c r="CD1408" s="8"/>
    </row>
    <row r="1409" spans="73:82" ht="15.75">
      <c r="BU1409" s="8"/>
      <c r="BZ1409" s="8"/>
      <c r="CD1409" s="8"/>
    </row>
    <row r="1410" spans="73:82" ht="15.75">
      <c r="BU1410" s="8"/>
      <c r="BZ1410" s="8"/>
      <c r="CD1410" s="8"/>
    </row>
    <row r="1411" spans="73:82" ht="15.75">
      <c r="BU1411" s="8"/>
      <c r="BZ1411" s="8"/>
      <c r="CD1411" s="8"/>
    </row>
    <row r="1412" spans="73:82" ht="15.75">
      <c r="BU1412" s="8"/>
      <c r="BZ1412" s="8"/>
      <c r="CD1412" s="8"/>
    </row>
    <row r="1413" spans="73:82" ht="15.75">
      <c r="BU1413" s="8"/>
      <c r="BZ1413" s="8"/>
      <c r="CD1413" s="8"/>
    </row>
    <row r="1414" spans="73:82" ht="15.75">
      <c r="BU1414" s="8"/>
      <c r="BZ1414" s="8"/>
      <c r="CD1414" s="8"/>
    </row>
    <row r="1415" spans="73:82" ht="15.75">
      <c r="BU1415" s="8"/>
      <c r="BZ1415" s="8"/>
      <c r="CD1415" s="8"/>
    </row>
    <row r="1416" spans="73:82" ht="15.75">
      <c r="BU1416" s="8"/>
      <c r="BZ1416" s="8"/>
      <c r="CD1416" s="8"/>
    </row>
    <row r="1417" spans="73:82" ht="15.75">
      <c r="BU1417" s="8"/>
      <c r="BZ1417" s="8"/>
      <c r="CD1417" s="8"/>
    </row>
    <row r="1418" spans="73:82" ht="15.75">
      <c r="BU1418" s="8"/>
      <c r="BZ1418" s="8"/>
      <c r="CD1418" s="8"/>
    </row>
    <row r="1419" spans="73:82" ht="15.75">
      <c r="BU1419" s="8"/>
      <c r="BZ1419" s="8"/>
      <c r="CD1419" s="8"/>
    </row>
    <row r="1420" spans="73:82" ht="15.75">
      <c r="BU1420" s="8"/>
      <c r="BZ1420" s="8"/>
      <c r="CD1420" s="8"/>
    </row>
    <row r="1421" spans="73:82" ht="15.75">
      <c r="BU1421" s="8"/>
      <c r="BZ1421" s="8"/>
      <c r="CD1421" s="8"/>
    </row>
    <row r="1422" spans="73:82" ht="15.75">
      <c r="BU1422" s="8"/>
      <c r="BZ1422" s="8"/>
      <c r="CD1422" s="8"/>
    </row>
    <row r="1423" spans="73:82" ht="15.75">
      <c r="BU1423" s="8"/>
      <c r="BZ1423" s="8"/>
      <c r="CD1423" s="8"/>
    </row>
    <row r="1424" spans="73:82" ht="15.75">
      <c r="BU1424" s="8"/>
      <c r="BZ1424" s="8"/>
      <c r="CD1424" s="8"/>
    </row>
    <row r="1425" spans="73:82" ht="15.75">
      <c r="BU1425" s="8"/>
      <c r="BZ1425" s="8"/>
      <c r="CD1425" s="8"/>
    </row>
    <row r="1426" spans="73:82" ht="15.75">
      <c r="BU1426" s="8"/>
      <c r="BZ1426" s="8"/>
      <c r="CD1426" s="8"/>
    </row>
    <row r="1427" spans="73:82" ht="15.75">
      <c r="BU1427" s="8"/>
      <c r="BZ1427" s="8"/>
      <c r="CD1427" s="8"/>
    </row>
    <row r="1428" spans="73:82" ht="15.75">
      <c r="BU1428" s="8"/>
      <c r="BZ1428" s="8"/>
      <c r="CD1428" s="8"/>
    </row>
    <row r="1429" spans="73:82" ht="15.75">
      <c r="BU1429" s="8"/>
      <c r="BZ1429" s="8"/>
      <c r="CD1429" s="8"/>
    </row>
    <row r="1430" spans="73:82" ht="15.75">
      <c r="BU1430" s="8"/>
      <c r="BZ1430" s="8"/>
      <c r="CD1430" s="8"/>
    </row>
    <row r="1431" spans="73:82" ht="15.75">
      <c r="BU1431" s="8"/>
      <c r="BZ1431" s="8"/>
      <c r="CD1431" s="8"/>
    </row>
    <row r="1432" spans="73:82" ht="15.75">
      <c r="BU1432" s="8"/>
      <c r="BZ1432" s="8"/>
      <c r="CD1432" s="8"/>
    </row>
    <row r="1433" spans="73:82" ht="15.75">
      <c r="BU1433" s="8"/>
      <c r="BZ1433" s="8"/>
      <c r="CD1433" s="8"/>
    </row>
    <row r="1434" spans="73:82" ht="15.75">
      <c r="BU1434" s="8"/>
      <c r="BZ1434" s="8"/>
      <c r="CD1434" s="8"/>
    </row>
    <row r="1435" spans="73:82" ht="15.75">
      <c r="BU1435" s="8"/>
      <c r="BZ1435" s="8"/>
      <c r="CD1435" s="8"/>
    </row>
    <row r="1436" spans="73:82" ht="15.75">
      <c r="BU1436" s="8"/>
      <c r="BZ1436" s="8"/>
      <c r="CD1436" s="8"/>
    </row>
    <row r="1437" spans="73:82" ht="15.75">
      <c r="BU1437" s="8"/>
      <c r="BZ1437" s="8"/>
      <c r="CD1437" s="8"/>
    </row>
    <row r="1438" spans="73:82" ht="15.75">
      <c r="BU1438" s="8"/>
      <c r="BZ1438" s="8"/>
      <c r="CD1438" s="8"/>
    </row>
    <row r="1439" spans="73:82" ht="15.75">
      <c r="BU1439" s="8"/>
      <c r="BZ1439" s="8"/>
      <c r="CD1439" s="8"/>
    </row>
    <row r="1440" spans="73:82" ht="15.75">
      <c r="BU1440" s="8"/>
      <c r="BZ1440" s="8"/>
      <c r="CD1440" s="8"/>
    </row>
    <row r="1441" spans="73:82" ht="15.75">
      <c r="BU1441" s="8"/>
      <c r="BZ1441" s="8"/>
      <c r="CD1441" s="8"/>
    </row>
    <row r="1442" spans="73:82" ht="15.75">
      <c r="BU1442" s="8"/>
      <c r="BZ1442" s="8"/>
      <c r="CD1442" s="8"/>
    </row>
    <row r="1443" spans="73:82" ht="15.75">
      <c r="BU1443" s="8"/>
      <c r="BZ1443" s="8"/>
      <c r="CD1443" s="8"/>
    </row>
    <row r="1444" spans="73:82" ht="15.75">
      <c r="BU1444" s="8"/>
      <c r="BZ1444" s="8"/>
      <c r="CD1444" s="8"/>
    </row>
    <row r="1445" spans="73:82" ht="15.75">
      <c r="BU1445" s="8"/>
      <c r="BZ1445" s="8"/>
      <c r="CD1445" s="8"/>
    </row>
    <row r="1446" spans="73:82" ht="15.75">
      <c r="BU1446" s="8"/>
      <c r="BZ1446" s="8"/>
      <c r="CD1446" s="8"/>
    </row>
    <row r="1447" spans="73:82" ht="15.75">
      <c r="BU1447" s="8"/>
      <c r="BZ1447" s="8"/>
      <c r="CD1447" s="8"/>
    </row>
    <row r="1448" spans="73:82" ht="15.75">
      <c r="BU1448" s="8"/>
      <c r="BZ1448" s="8"/>
      <c r="CD1448" s="8"/>
    </row>
    <row r="1449" spans="73:82" ht="15.75">
      <c r="BU1449" s="8"/>
      <c r="BZ1449" s="8"/>
      <c r="CD1449" s="8"/>
    </row>
    <row r="1450" spans="73:82" ht="15.75">
      <c r="BU1450" s="8"/>
      <c r="BZ1450" s="8"/>
      <c r="CD1450" s="8"/>
    </row>
    <row r="1451" spans="73:82" ht="15.75">
      <c r="BU1451" s="8"/>
      <c r="BZ1451" s="8"/>
      <c r="CD1451" s="8"/>
    </row>
    <row r="1452" spans="73:82" ht="15.75">
      <c r="BU1452" s="8"/>
      <c r="BZ1452" s="8"/>
      <c r="CD1452" s="8"/>
    </row>
    <row r="1453" spans="73:82" ht="15.75">
      <c r="BU1453" s="8"/>
      <c r="BZ1453" s="8"/>
      <c r="CD1453" s="8"/>
    </row>
    <row r="1454" spans="73:82" ht="15.75">
      <c r="BU1454" s="8"/>
      <c r="BZ1454" s="8"/>
      <c r="CD1454" s="8"/>
    </row>
    <row r="1455" spans="73:82" ht="15.75">
      <c r="BU1455" s="8"/>
      <c r="BZ1455" s="8"/>
      <c r="CD1455" s="8"/>
    </row>
    <row r="1456" spans="73:82" ht="15.75">
      <c r="BU1456" s="8"/>
      <c r="BZ1456" s="8"/>
      <c r="CD1456" s="8"/>
    </row>
    <row r="1457" spans="73:82" ht="15.75">
      <c r="BU1457" s="8"/>
      <c r="BZ1457" s="8"/>
      <c r="CD1457" s="8"/>
    </row>
    <row r="1458" spans="73:82" ht="15.75">
      <c r="BU1458" s="8"/>
      <c r="BZ1458" s="8"/>
      <c r="CD1458" s="8"/>
    </row>
    <row r="1459" spans="73:82" ht="15.75">
      <c r="BU1459" s="8"/>
      <c r="BZ1459" s="8"/>
      <c r="CD1459" s="8"/>
    </row>
    <row r="1460" spans="73:82" ht="15.75">
      <c r="BU1460" s="8"/>
      <c r="BZ1460" s="8"/>
      <c r="CD1460" s="8"/>
    </row>
    <row r="1461" spans="73:82" ht="15.75">
      <c r="BU1461" s="8"/>
      <c r="BZ1461" s="8"/>
      <c r="CD1461" s="8"/>
    </row>
    <row r="1462" spans="73:82" ht="15.75">
      <c r="BU1462" s="8"/>
      <c r="BZ1462" s="8"/>
      <c r="CD1462" s="8"/>
    </row>
    <row r="1463" spans="73:82" ht="15.75">
      <c r="BU1463" s="8"/>
      <c r="BZ1463" s="8"/>
      <c r="CD1463" s="8"/>
    </row>
    <row r="1464" spans="73:82" ht="15.75">
      <c r="BU1464" s="8"/>
      <c r="BZ1464" s="8"/>
      <c r="CD1464" s="8"/>
    </row>
    <row r="1465" spans="73:82" ht="15.75">
      <c r="BU1465" s="8"/>
      <c r="BZ1465" s="8"/>
      <c r="CD1465" s="8"/>
    </row>
    <row r="1466" spans="73:82" ht="15.75">
      <c r="BU1466" s="8"/>
      <c r="BZ1466" s="8"/>
      <c r="CD1466" s="8"/>
    </row>
    <row r="1467" spans="73:82" ht="15.75">
      <c r="BU1467" s="8"/>
      <c r="BZ1467" s="8"/>
      <c r="CD1467" s="8"/>
    </row>
    <row r="1468" spans="73:82" ht="15.75">
      <c r="BU1468" s="8"/>
      <c r="BZ1468" s="8"/>
      <c r="CD1468" s="8"/>
    </row>
    <row r="1469" spans="73:82" ht="15.75">
      <c r="BU1469" s="8"/>
      <c r="BZ1469" s="8"/>
      <c r="CD1469" s="8"/>
    </row>
    <row r="1470" spans="73:82" ht="15.75">
      <c r="BU1470" s="8"/>
      <c r="BZ1470" s="8"/>
      <c r="CD1470" s="8"/>
    </row>
    <row r="1471" spans="73:82" ht="15.75">
      <c r="BU1471" s="8"/>
      <c r="BZ1471" s="8"/>
      <c r="CD1471" s="8"/>
    </row>
    <row r="1472" spans="73:82" ht="15.75">
      <c r="BU1472" s="8"/>
      <c r="BZ1472" s="8"/>
      <c r="CD1472" s="8"/>
    </row>
    <row r="1473" spans="73:82" ht="15.75">
      <c r="BU1473" s="8"/>
      <c r="BZ1473" s="8"/>
      <c r="CD1473" s="8"/>
    </row>
    <row r="1474" spans="73:82" ht="15.75">
      <c r="BU1474" s="8"/>
      <c r="BZ1474" s="8"/>
      <c r="CD1474" s="8"/>
    </row>
    <row r="1475" spans="73:82" ht="15.75">
      <c r="BU1475" s="8"/>
      <c r="BZ1475" s="8"/>
      <c r="CD1475" s="8"/>
    </row>
    <row r="1476" spans="73:82" ht="15.75">
      <c r="BU1476" s="8"/>
      <c r="BZ1476" s="8"/>
      <c r="CD1476" s="8"/>
    </row>
    <row r="1477" spans="73:82" ht="15.75">
      <c r="BU1477" s="8"/>
      <c r="BZ1477" s="8"/>
      <c r="CD1477" s="8"/>
    </row>
    <row r="1478" spans="73:82" ht="15.75">
      <c r="BU1478" s="8"/>
      <c r="BZ1478" s="8"/>
      <c r="CD1478" s="8"/>
    </row>
    <row r="1479" spans="73:82" ht="15.75">
      <c r="BU1479" s="8"/>
      <c r="BZ1479" s="8"/>
      <c r="CD1479" s="8"/>
    </row>
    <row r="1480" spans="73:82" ht="15.75">
      <c r="BU1480" s="8"/>
      <c r="BZ1480" s="8"/>
      <c r="CD1480" s="8"/>
    </row>
    <row r="1481" spans="73:82" ht="15.75">
      <c r="BU1481" s="8"/>
      <c r="BZ1481" s="8"/>
      <c r="CD1481" s="8"/>
    </row>
    <row r="1482" spans="73:82" ht="15.75">
      <c r="BU1482" s="8"/>
      <c r="BZ1482" s="8"/>
      <c r="CD1482" s="8"/>
    </row>
    <row r="1483" spans="73:82" ht="15.75">
      <c r="BU1483" s="8"/>
      <c r="BZ1483" s="8"/>
      <c r="CD1483" s="8"/>
    </row>
    <row r="1484" spans="73:82" ht="15.75">
      <c r="BU1484" s="8"/>
      <c r="BZ1484" s="8"/>
      <c r="CD1484" s="8"/>
    </row>
    <row r="1485" spans="73:82" ht="15.75">
      <c r="BU1485" s="8"/>
      <c r="BZ1485" s="8"/>
      <c r="CD1485" s="8"/>
    </row>
    <row r="1486" spans="73:82" ht="15.75">
      <c r="BU1486" s="8"/>
      <c r="BZ1486" s="8"/>
      <c r="CD1486" s="8"/>
    </row>
    <row r="1487" spans="73:82" ht="15.75">
      <c r="BU1487" s="8"/>
      <c r="BZ1487" s="8"/>
      <c r="CD1487" s="8"/>
    </row>
    <row r="1488" spans="73:82" ht="15.75">
      <c r="BU1488" s="8"/>
      <c r="BZ1488" s="8"/>
      <c r="CD1488" s="8"/>
    </row>
    <row r="1489" spans="73:82" ht="15.75">
      <c r="BU1489" s="8"/>
      <c r="BZ1489" s="8"/>
      <c r="CD1489" s="8"/>
    </row>
    <row r="1490" spans="73:82" ht="15.75">
      <c r="BU1490" s="8"/>
      <c r="BZ1490" s="8"/>
      <c r="CD1490" s="8"/>
    </row>
    <row r="1491" spans="73:82" ht="15.75">
      <c r="BU1491" s="8"/>
      <c r="BZ1491" s="8"/>
      <c r="CD1491" s="8"/>
    </row>
    <row r="1492" spans="73:82" ht="15.75">
      <c r="BU1492" s="8"/>
      <c r="BZ1492" s="8"/>
      <c r="CD1492" s="8"/>
    </row>
    <row r="1493" spans="73:82" ht="15.75">
      <c r="BU1493" s="8"/>
      <c r="BZ1493" s="8"/>
      <c r="CD1493" s="8"/>
    </row>
    <row r="1494" spans="73:82" ht="15.75">
      <c r="BU1494" s="8"/>
      <c r="BZ1494" s="8"/>
      <c r="CD1494" s="8"/>
    </row>
    <row r="1495" spans="73:82" ht="15.75">
      <c r="BU1495" s="8"/>
      <c r="BZ1495" s="8"/>
      <c r="CD1495" s="8"/>
    </row>
    <row r="1496" spans="73:82" ht="15.75">
      <c r="BU1496" s="8"/>
      <c r="BZ1496" s="8"/>
      <c r="CD1496" s="8"/>
    </row>
    <row r="1497" spans="73:82" ht="15.75">
      <c r="BU1497" s="8"/>
      <c r="BZ1497" s="8"/>
      <c r="CD1497" s="8"/>
    </row>
    <row r="1498" spans="73:82" ht="15.75">
      <c r="BU1498" s="8"/>
      <c r="BZ1498" s="8"/>
      <c r="CD1498" s="8"/>
    </row>
    <row r="1499" spans="73:82" ht="15.75">
      <c r="BU1499" s="8"/>
      <c r="BZ1499" s="8"/>
      <c r="CD1499" s="8"/>
    </row>
    <row r="1500" spans="73:82" ht="15.75">
      <c r="BU1500" s="8"/>
      <c r="BZ1500" s="8"/>
      <c r="CD1500" s="8"/>
    </row>
    <row r="1501" spans="73:82" ht="15.75">
      <c r="BU1501" s="8"/>
      <c r="BZ1501" s="8"/>
      <c r="CD1501" s="8"/>
    </row>
    <row r="1502" spans="73:82" ht="15.75">
      <c r="BU1502" s="8"/>
      <c r="BZ1502" s="8"/>
      <c r="CD1502" s="8"/>
    </row>
    <row r="1503" spans="73:82" ht="15.75">
      <c r="BU1503" s="8"/>
      <c r="BZ1503" s="8"/>
      <c r="CD1503" s="8"/>
    </row>
    <row r="1504" spans="73:82" ht="15.75">
      <c r="BU1504" s="8"/>
      <c r="BZ1504" s="8"/>
      <c r="CD1504" s="8"/>
    </row>
    <row r="1505" spans="73:82" ht="15.75">
      <c r="BU1505" s="8"/>
      <c r="BZ1505" s="8"/>
      <c r="CD1505" s="8"/>
    </row>
    <row r="1506" spans="73:82" ht="15.75">
      <c r="BU1506" s="8"/>
      <c r="BZ1506" s="8"/>
      <c r="CD1506" s="8"/>
    </row>
    <row r="1507" spans="73:82" ht="15.75">
      <c r="BU1507" s="8"/>
      <c r="BZ1507" s="8"/>
      <c r="CD1507" s="8"/>
    </row>
    <row r="1508" spans="73:82" ht="15.75">
      <c r="BU1508" s="8"/>
      <c r="BZ1508" s="8"/>
      <c r="CD1508" s="8"/>
    </row>
    <row r="1509" spans="73:82" ht="15.75">
      <c r="BU1509" s="8"/>
      <c r="BZ1509" s="8"/>
      <c r="CD1509" s="8"/>
    </row>
    <row r="1510" spans="73:82" ht="15.75">
      <c r="BU1510" s="8"/>
      <c r="BZ1510" s="8"/>
      <c r="CD1510" s="8"/>
    </row>
    <row r="1511" spans="73:82" ht="15.75">
      <c r="BU1511" s="8"/>
      <c r="BZ1511" s="8"/>
      <c r="CD1511" s="8"/>
    </row>
    <row r="1512" spans="73:82" ht="15.75">
      <c r="BU1512" s="8"/>
      <c r="BZ1512" s="8"/>
      <c r="CD1512" s="8"/>
    </row>
    <row r="1513" spans="73:82" ht="15.75">
      <c r="BU1513" s="8"/>
      <c r="BZ1513" s="8"/>
      <c r="CD1513" s="8"/>
    </row>
    <row r="1514" spans="73:82" ht="15.75">
      <c r="BU1514" s="8"/>
      <c r="BZ1514" s="8"/>
      <c r="CD1514" s="8"/>
    </row>
    <row r="1515" spans="73:82" ht="15.75">
      <c r="BU1515" s="8"/>
      <c r="BZ1515" s="8"/>
      <c r="CD1515" s="8"/>
    </row>
    <row r="1516" spans="73:82" ht="15.75">
      <c r="BU1516" s="8"/>
      <c r="BZ1516" s="8"/>
      <c r="CD1516" s="8"/>
    </row>
    <row r="1517" spans="73:82" ht="15.75">
      <c r="BU1517" s="8"/>
      <c r="BZ1517" s="8"/>
      <c r="CD1517" s="8"/>
    </row>
    <row r="1518" spans="73:82" ht="15.75">
      <c r="BU1518" s="8"/>
      <c r="BZ1518" s="8"/>
      <c r="CD1518" s="8"/>
    </row>
    <row r="1519" spans="73:82" ht="15.75">
      <c r="BU1519" s="8"/>
      <c r="BZ1519" s="8"/>
      <c r="CD1519" s="8"/>
    </row>
    <row r="1520" spans="73:82" ht="15.75">
      <c r="BU1520" s="8"/>
      <c r="BZ1520" s="8"/>
      <c r="CD1520" s="8"/>
    </row>
    <row r="1521" spans="73:82" ht="15.75">
      <c r="BU1521" s="8"/>
      <c r="BZ1521" s="8"/>
      <c r="CD1521" s="8"/>
    </row>
    <row r="1522" spans="73:82" ht="15.75">
      <c r="BU1522" s="8"/>
      <c r="BZ1522" s="8"/>
      <c r="CD1522" s="8"/>
    </row>
    <row r="1523" spans="73:82" ht="15.75">
      <c r="BU1523" s="8"/>
      <c r="BZ1523" s="8"/>
      <c r="CD1523" s="8"/>
    </row>
    <row r="1524" spans="73:82" ht="15.75">
      <c r="BU1524" s="8"/>
      <c r="BZ1524" s="8"/>
      <c r="CD1524" s="8"/>
    </row>
    <row r="1525" spans="73:82" ht="15.75">
      <c r="BU1525" s="8"/>
      <c r="BZ1525" s="8"/>
      <c r="CD1525" s="8"/>
    </row>
    <row r="1526" spans="73:82" ht="15.75">
      <c r="BU1526" s="8"/>
      <c r="BZ1526" s="8"/>
      <c r="CD1526" s="8"/>
    </row>
    <row r="1527" spans="73:82" ht="15.75">
      <c r="BU1527" s="8"/>
      <c r="BZ1527" s="8"/>
      <c r="CD1527" s="8"/>
    </row>
    <row r="1528" spans="73:82" ht="15.75">
      <c r="BU1528" s="8"/>
      <c r="BZ1528" s="8"/>
      <c r="CD1528" s="8"/>
    </row>
    <row r="1529" spans="73:82" ht="15.75">
      <c r="BU1529" s="8"/>
      <c r="BZ1529" s="8"/>
      <c r="CD1529" s="8"/>
    </row>
    <row r="1530" spans="73:82" ht="15.75">
      <c r="BU1530" s="8"/>
      <c r="BZ1530" s="8"/>
      <c r="CD1530" s="8"/>
    </row>
    <row r="1531" spans="73:82" ht="15.75">
      <c r="BU1531" s="8"/>
      <c r="BZ1531" s="8"/>
      <c r="CD1531" s="8"/>
    </row>
    <row r="1532" spans="73:82" ht="15.75">
      <c r="BU1532" s="8"/>
      <c r="BZ1532" s="8"/>
      <c r="CD1532" s="8"/>
    </row>
    <row r="1533" spans="73:82" ht="15.75">
      <c r="BU1533" s="8"/>
      <c r="BZ1533" s="8"/>
      <c r="CD1533" s="8"/>
    </row>
    <row r="1534" spans="73:82" ht="15.75">
      <c r="BU1534" s="8"/>
      <c r="BZ1534" s="8"/>
      <c r="CD1534" s="8"/>
    </row>
    <row r="1535" spans="73:82" ht="15.75">
      <c r="BU1535" s="8"/>
      <c r="BZ1535" s="8"/>
      <c r="CD1535" s="8"/>
    </row>
    <row r="1536" spans="73:82" ht="15.75">
      <c r="BU1536" s="8"/>
      <c r="BZ1536" s="8"/>
      <c r="CD1536" s="8"/>
    </row>
    <row r="1537" spans="73:82" ht="15.75">
      <c r="BU1537" s="8"/>
      <c r="BZ1537" s="8"/>
      <c r="CD1537" s="8"/>
    </row>
    <row r="1538" spans="73:82" ht="15.75">
      <c r="BU1538" s="8"/>
      <c r="BZ1538" s="8"/>
      <c r="CD1538" s="8"/>
    </row>
    <row r="1539" spans="73:82" ht="15.75">
      <c r="BU1539" s="8"/>
      <c r="BZ1539" s="8"/>
      <c r="CD1539" s="8"/>
    </row>
    <row r="1540" spans="73:82" ht="15.75">
      <c r="BU1540" s="8"/>
      <c r="BZ1540" s="8"/>
      <c r="CD1540" s="8"/>
    </row>
    <row r="1541" spans="73:82" ht="15.75">
      <c r="BU1541" s="8"/>
      <c r="BZ1541" s="8"/>
      <c r="CD1541" s="8"/>
    </row>
    <row r="1542" spans="73:82" ht="15.75">
      <c r="BU1542" s="8"/>
      <c r="BZ1542" s="8"/>
      <c r="CD1542" s="8"/>
    </row>
    <row r="1543" spans="73:82" ht="15.75">
      <c r="BU1543" s="8"/>
      <c r="BZ1543" s="8"/>
      <c r="CD1543" s="8"/>
    </row>
    <row r="1544" spans="73:82" ht="15.75">
      <c r="BU1544" s="8"/>
      <c r="BZ1544" s="8"/>
      <c r="CD1544" s="8"/>
    </row>
    <row r="1545" spans="73:82" ht="15.75">
      <c r="BU1545" s="8"/>
      <c r="BZ1545" s="8"/>
      <c r="CD1545" s="8"/>
    </row>
    <row r="1546" spans="73:82" ht="15.75">
      <c r="BU1546" s="8"/>
      <c r="BZ1546" s="8"/>
      <c r="CD1546" s="8"/>
    </row>
    <row r="1547" spans="73:82" ht="15.75">
      <c r="BU1547" s="8"/>
      <c r="BZ1547" s="8"/>
      <c r="CD1547" s="8"/>
    </row>
    <row r="1548" spans="73:82" ht="15.75">
      <c r="BU1548" s="8"/>
      <c r="BZ1548" s="8"/>
      <c r="CD1548" s="8"/>
    </row>
    <row r="1549" spans="73:82" ht="15.75">
      <c r="BU1549" s="8"/>
      <c r="BZ1549" s="8"/>
      <c r="CD1549" s="8"/>
    </row>
    <row r="1550" spans="73:82" ht="15.75">
      <c r="BU1550" s="8"/>
      <c r="BZ1550" s="8"/>
      <c r="CD1550" s="8"/>
    </row>
    <row r="1551" spans="73:82" ht="15.75">
      <c r="BU1551" s="8"/>
      <c r="BZ1551" s="8"/>
      <c r="CD1551" s="8"/>
    </row>
    <row r="1552" spans="73:82" ht="15.75">
      <c r="BU1552" s="8"/>
      <c r="BZ1552" s="8"/>
      <c r="CD1552" s="8"/>
    </row>
    <row r="1553" spans="73:82" ht="15.75">
      <c r="BU1553" s="8"/>
      <c r="BZ1553" s="8"/>
      <c r="CD1553" s="8"/>
    </row>
    <row r="1554" spans="73:82" ht="15.75">
      <c r="BU1554" s="8"/>
      <c r="BZ1554" s="8"/>
      <c r="CD1554" s="8"/>
    </row>
    <row r="1555" spans="73:82" ht="15.75">
      <c r="BU1555" s="8"/>
      <c r="BZ1555" s="8"/>
      <c r="CD1555" s="8"/>
    </row>
    <row r="1556" spans="73:82" ht="15.75">
      <c r="BU1556" s="8"/>
      <c r="BZ1556" s="8"/>
      <c r="CD1556" s="8"/>
    </row>
    <row r="1557" spans="73:82" ht="15.75">
      <c r="BU1557" s="8"/>
      <c r="BZ1557" s="8"/>
      <c r="CD1557" s="8"/>
    </row>
    <row r="1558" spans="73:82" ht="15.75">
      <c r="BU1558" s="8"/>
      <c r="BZ1558" s="8"/>
      <c r="CD1558" s="8"/>
    </row>
    <row r="1559" spans="73:82" ht="15.75">
      <c r="BU1559" s="8"/>
      <c r="BZ1559" s="8"/>
      <c r="CD1559" s="8"/>
    </row>
    <row r="1560" spans="73:82" ht="15.75">
      <c r="BU1560" s="8"/>
      <c r="BZ1560" s="8"/>
      <c r="CD1560" s="8"/>
    </row>
    <row r="1561" spans="73:82" ht="15.75">
      <c r="BU1561" s="8"/>
      <c r="BZ1561" s="8"/>
      <c r="CD1561" s="8"/>
    </row>
    <row r="1562" spans="73:82" ht="15.75">
      <c r="BU1562" s="8"/>
      <c r="BZ1562" s="8"/>
      <c r="CD1562" s="8"/>
    </row>
    <row r="1563" spans="73:82" ht="15.75">
      <c r="BU1563" s="8"/>
      <c r="BZ1563" s="8"/>
      <c r="CD1563" s="8"/>
    </row>
    <row r="1564" spans="73:82" ht="15.75">
      <c r="BU1564" s="8"/>
      <c r="BZ1564" s="8"/>
      <c r="CD1564" s="8"/>
    </row>
    <row r="1565" spans="73:82" ht="15.75">
      <c r="BU1565" s="8"/>
      <c r="BZ1565" s="8"/>
      <c r="CD1565" s="8"/>
    </row>
    <row r="1566" spans="73:82" ht="15.75">
      <c r="BU1566" s="8"/>
      <c r="BZ1566" s="8"/>
      <c r="CD1566" s="8"/>
    </row>
    <row r="1567" spans="73:82" ht="15.75">
      <c r="BU1567" s="8"/>
      <c r="BZ1567" s="8"/>
      <c r="CD1567" s="8"/>
    </row>
    <row r="1568" spans="73:82" ht="15.75">
      <c r="BU1568" s="8"/>
      <c r="BZ1568" s="8"/>
      <c r="CD1568" s="8"/>
    </row>
    <row r="1569" spans="73:82" ht="15.75">
      <c r="BU1569" s="8"/>
      <c r="BZ1569" s="8"/>
      <c r="CD1569" s="8"/>
    </row>
    <row r="1570" spans="73:82" ht="15.75">
      <c r="BU1570" s="8"/>
      <c r="BZ1570" s="8"/>
      <c r="CD1570" s="8"/>
    </row>
    <row r="1571" spans="73:82" ht="15.75">
      <c r="BU1571" s="8"/>
      <c r="BZ1571" s="8"/>
      <c r="CD1571" s="8"/>
    </row>
    <row r="1572" spans="73:82" ht="15.75">
      <c r="BU1572" s="8"/>
      <c r="BZ1572" s="8"/>
      <c r="CD1572" s="8"/>
    </row>
    <row r="1573" spans="73:82" ht="15.75">
      <c r="BU1573" s="8"/>
      <c r="BZ1573" s="8"/>
      <c r="CD1573" s="8"/>
    </row>
    <row r="1574" spans="73:82" ht="15.75">
      <c r="BU1574" s="8"/>
      <c r="BZ1574" s="8"/>
      <c r="CD1574" s="8"/>
    </row>
    <row r="1575" spans="73:82" ht="15.75">
      <c r="BU1575" s="8"/>
      <c r="BZ1575" s="8"/>
      <c r="CD1575" s="8"/>
    </row>
    <row r="1576" spans="73:82" ht="15.75">
      <c r="BU1576" s="8"/>
      <c r="BZ1576" s="8"/>
      <c r="CD1576" s="8"/>
    </row>
    <row r="1577" spans="73:82" ht="15.75">
      <c r="BU1577" s="8"/>
      <c r="BZ1577" s="8"/>
      <c r="CD1577" s="8"/>
    </row>
    <row r="1578" spans="73:82" ht="15.75">
      <c r="BU1578" s="8"/>
      <c r="BZ1578" s="8"/>
      <c r="CD1578" s="8"/>
    </row>
    <row r="1579" spans="73:82" ht="15.75">
      <c r="BU1579" s="8"/>
      <c r="BZ1579" s="8"/>
      <c r="CD1579" s="8"/>
    </row>
    <row r="1580" spans="73:82" ht="15.75">
      <c r="BU1580" s="8"/>
      <c r="BZ1580" s="8"/>
      <c r="CD1580" s="8"/>
    </row>
    <row r="1581" spans="73:82" ht="15.75">
      <c r="BU1581" s="8"/>
      <c r="BZ1581" s="8"/>
      <c r="CD1581" s="8"/>
    </row>
    <row r="1582" spans="73:82" ht="15.75">
      <c r="BU1582" s="8"/>
      <c r="BZ1582" s="8"/>
      <c r="CD1582" s="8"/>
    </row>
    <row r="1583" spans="73:82" ht="15.75">
      <c r="BU1583" s="8"/>
      <c r="BZ1583" s="8"/>
      <c r="CD1583" s="8"/>
    </row>
    <row r="1584" spans="73:82" ht="15.75">
      <c r="BU1584" s="8"/>
      <c r="BZ1584" s="8"/>
      <c r="CD1584" s="8"/>
    </row>
    <row r="1585" spans="73:82" ht="15.75">
      <c r="BU1585" s="8"/>
      <c r="BZ1585" s="8"/>
      <c r="CD1585" s="8"/>
    </row>
    <row r="1586" spans="73:82" ht="15.75">
      <c r="BU1586" s="8"/>
      <c r="BZ1586" s="8"/>
      <c r="CD1586" s="8"/>
    </row>
    <row r="1587" spans="73:82" ht="15.75">
      <c r="BU1587" s="8"/>
      <c r="BZ1587" s="8"/>
      <c r="CD1587" s="8"/>
    </row>
    <row r="1588" spans="73:82" ht="15.75">
      <c r="BU1588" s="8"/>
      <c r="BZ1588" s="8"/>
      <c r="CD1588" s="8"/>
    </row>
    <row r="1589" spans="73:82" ht="15.75">
      <c r="BU1589" s="8"/>
      <c r="BZ1589" s="8"/>
      <c r="CD1589" s="8"/>
    </row>
    <row r="1590" spans="73:82" ht="15.75">
      <c r="BU1590" s="8"/>
      <c r="BZ1590" s="8"/>
      <c r="CD1590" s="8"/>
    </row>
    <row r="1591" spans="73:82" ht="15.75">
      <c r="BU1591" s="8"/>
      <c r="BZ1591" s="8"/>
      <c r="CD1591" s="8"/>
    </row>
    <row r="1592" spans="73:82" ht="15.75">
      <c r="BU1592" s="8"/>
      <c r="BZ1592" s="8"/>
      <c r="CD1592" s="8"/>
    </row>
    <row r="1593" spans="73:82" ht="15.75">
      <c r="BU1593" s="8"/>
      <c r="BZ1593" s="8"/>
      <c r="CD1593" s="8"/>
    </row>
    <row r="1594" spans="73:82" ht="15.75">
      <c r="BU1594" s="8"/>
      <c r="BZ1594" s="8"/>
      <c r="CD1594" s="8"/>
    </row>
    <row r="1595" spans="73:82" ht="15.75">
      <c r="BU1595" s="8"/>
      <c r="BZ1595" s="8"/>
      <c r="CD1595" s="8"/>
    </row>
    <row r="1596" spans="73:82" ht="15.75">
      <c r="BU1596" s="8"/>
      <c r="BZ1596" s="8"/>
      <c r="CD1596" s="8"/>
    </row>
    <row r="1597" spans="73:82" ht="15.75">
      <c r="BU1597" s="8"/>
      <c r="BZ1597" s="8"/>
      <c r="CD1597" s="8"/>
    </row>
    <row r="1598" spans="73:82" ht="15.75">
      <c r="BU1598" s="8"/>
      <c r="BZ1598" s="8"/>
      <c r="CD1598" s="8"/>
    </row>
    <row r="1599" spans="73:82" ht="15.75">
      <c r="BU1599" s="8"/>
      <c r="BZ1599" s="8"/>
      <c r="CD1599" s="8"/>
    </row>
    <row r="1600" spans="73:82" ht="15.75">
      <c r="BU1600" s="8"/>
      <c r="BZ1600" s="8"/>
      <c r="CD1600" s="8"/>
    </row>
    <row r="1601" spans="73:82" ht="15.75">
      <c r="BU1601" s="8"/>
      <c r="BZ1601" s="8"/>
      <c r="CD1601" s="8"/>
    </row>
    <row r="1602" spans="73:82" ht="15.75">
      <c r="BU1602" s="8"/>
      <c r="BZ1602" s="8"/>
      <c r="CD1602" s="8"/>
    </row>
    <row r="1603" spans="73:82" ht="15.75">
      <c r="BU1603" s="8"/>
      <c r="BZ1603" s="8"/>
      <c r="CD1603" s="8"/>
    </row>
    <row r="1604" spans="73:82" ht="15.75">
      <c r="BU1604" s="8"/>
      <c r="BZ1604" s="8"/>
      <c r="CD1604" s="8"/>
    </row>
    <row r="1605" spans="73:82" ht="15.75">
      <c r="BU1605" s="8"/>
      <c r="BZ1605" s="8"/>
      <c r="CD1605" s="8"/>
    </row>
    <row r="1606" spans="73:82" ht="15.75">
      <c r="BU1606" s="8"/>
      <c r="BZ1606" s="8"/>
      <c r="CD1606" s="8"/>
    </row>
    <row r="1607" spans="73:82" ht="15.75">
      <c r="BU1607" s="8"/>
      <c r="BZ1607" s="8"/>
      <c r="CD1607" s="8"/>
    </row>
    <row r="1608" spans="73:82" ht="15.75">
      <c r="BU1608" s="8"/>
      <c r="BZ1608" s="8"/>
      <c r="CD1608" s="8"/>
    </row>
    <row r="1609" spans="73:82" ht="15.75">
      <c r="BU1609" s="8"/>
      <c r="BZ1609" s="8"/>
      <c r="CD1609" s="8"/>
    </row>
    <row r="1610" spans="73:82" ht="15.75">
      <c r="BU1610" s="8"/>
      <c r="BZ1610" s="8"/>
      <c r="CD1610" s="8"/>
    </row>
    <row r="1611" spans="73:82" ht="15.75">
      <c r="BU1611" s="8"/>
      <c r="BZ1611" s="8"/>
      <c r="CD1611" s="8"/>
    </row>
    <row r="1612" spans="73:82" ht="15.75">
      <c r="BU1612" s="8"/>
      <c r="BZ1612" s="8"/>
      <c r="CD1612" s="8"/>
    </row>
    <row r="1613" spans="73:82" ht="15.75">
      <c r="BU1613" s="8"/>
      <c r="BZ1613" s="8"/>
      <c r="CD1613" s="8"/>
    </row>
    <row r="1614" spans="73:82" ht="15.75">
      <c r="BU1614" s="8"/>
      <c r="BZ1614" s="8"/>
      <c r="CD1614" s="8"/>
    </row>
    <row r="1615" spans="73:82" ht="15.75">
      <c r="BU1615" s="8"/>
      <c r="BZ1615" s="8"/>
      <c r="CD1615" s="8"/>
    </row>
    <row r="1616" spans="73:82" ht="15.75">
      <c r="BU1616" s="8"/>
      <c r="BZ1616" s="8"/>
      <c r="CD1616" s="8"/>
    </row>
    <row r="1617" spans="73:82" ht="15.75">
      <c r="BU1617" s="8"/>
      <c r="BZ1617" s="8"/>
      <c r="CD1617" s="8"/>
    </row>
    <row r="1618" spans="73:82" ht="15.75">
      <c r="BU1618" s="8"/>
      <c r="BZ1618" s="8"/>
      <c r="CD1618" s="8"/>
    </row>
    <row r="1619" spans="73:82" ht="15.75">
      <c r="BU1619" s="8"/>
      <c r="BZ1619" s="8"/>
      <c r="CD1619" s="8"/>
    </row>
    <row r="1620" spans="73:82" ht="15.75">
      <c r="BU1620" s="8"/>
      <c r="BZ1620" s="8"/>
      <c r="CD1620" s="8"/>
    </row>
    <row r="1621" spans="73:82" ht="15.75">
      <c r="BU1621" s="8"/>
      <c r="BZ1621" s="8"/>
      <c r="CD1621" s="8"/>
    </row>
    <row r="1622" spans="73:82" ht="15.75">
      <c r="BU1622" s="8"/>
      <c r="BZ1622" s="8"/>
      <c r="CD1622" s="8"/>
    </row>
    <row r="1623" spans="73:82" ht="15.75">
      <c r="BU1623" s="8"/>
      <c r="BZ1623" s="8"/>
      <c r="CD1623" s="8"/>
    </row>
    <row r="1624" spans="73:82" ht="15.75">
      <c r="BU1624" s="8"/>
      <c r="BZ1624" s="8"/>
      <c r="CD1624" s="8"/>
    </row>
    <row r="1625" spans="73:82" ht="15.75">
      <c r="BU1625" s="8"/>
      <c r="BZ1625" s="8"/>
      <c r="CD1625" s="8"/>
    </row>
    <row r="1626" spans="73:82" ht="15.75">
      <c r="BU1626" s="8"/>
      <c r="BZ1626" s="8"/>
      <c r="CD1626" s="8"/>
    </row>
    <row r="1627" spans="73:82" ht="15.75">
      <c r="BU1627" s="8"/>
      <c r="BZ1627" s="8"/>
      <c r="CD1627" s="8"/>
    </row>
    <row r="1628" spans="73:82" ht="15.75">
      <c r="BU1628" s="8"/>
      <c r="BZ1628" s="8"/>
      <c r="CD1628" s="8"/>
    </row>
    <row r="1629" spans="73:82" ht="15.75">
      <c r="BU1629" s="8"/>
      <c r="BZ1629" s="8"/>
      <c r="CD1629" s="8"/>
    </row>
    <row r="1630" spans="73:82" ht="15.75">
      <c r="BU1630" s="8"/>
      <c r="BZ1630" s="8"/>
      <c r="CD1630" s="8"/>
    </row>
    <row r="1631" spans="73:82" ht="15.75">
      <c r="BU1631" s="8"/>
      <c r="BZ1631" s="8"/>
      <c r="CD1631" s="8"/>
    </row>
    <row r="1632" spans="73:82" ht="15.75">
      <c r="BU1632" s="8"/>
      <c r="BZ1632" s="8"/>
      <c r="CD1632" s="8"/>
    </row>
    <row r="1633" spans="73:82" ht="15.75">
      <c r="BU1633" s="8"/>
      <c r="BZ1633" s="8"/>
      <c r="CD1633" s="8"/>
    </row>
    <row r="1634" spans="73:82" ht="15.75">
      <c r="BU1634" s="8"/>
      <c r="BZ1634" s="8"/>
      <c r="CD1634" s="8"/>
    </row>
    <row r="1635" spans="73:82" ht="15.75">
      <c r="BU1635" s="8"/>
      <c r="BZ1635" s="8"/>
      <c r="CD1635" s="8"/>
    </row>
    <row r="1636" spans="73:82" ht="15.75">
      <c r="BU1636" s="8"/>
      <c r="BZ1636" s="8"/>
      <c r="CD1636" s="8"/>
    </row>
    <row r="1637" spans="73:82" ht="15.75">
      <c r="BU1637" s="8"/>
      <c r="BZ1637" s="8"/>
      <c r="CD1637" s="8"/>
    </row>
    <row r="1638" spans="73:82" ht="15.75">
      <c r="BU1638" s="8"/>
      <c r="BZ1638" s="8"/>
      <c r="CD1638" s="8"/>
    </row>
    <row r="1639" spans="73:82" ht="15.75">
      <c r="BU1639" s="8"/>
      <c r="BZ1639" s="8"/>
      <c r="CD1639" s="8"/>
    </row>
    <row r="1640" spans="73:82" ht="15.75">
      <c r="BU1640" s="8"/>
      <c r="BZ1640" s="8"/>
      <c r="CD1640" s="8"/>
    </row>
    <row r="1641" spans="73:82" ht="15.75">
      <c r="BU1641" s="8"/>
      <c r="BZ1641" s="8"/>
      <c r="CD1641" s="8"/>
    </row>
    <row r="1642" spans="73:82" ht="15.75">
      <c r="BU1642" s="8"/>
      <c r="BZ1642" s="8"/>
      <c r="CD1642" s="8"/>
    </row>
    <row r="1643" spans="73:82" ht="15.75">
      <c r="BU1643" s="8"/>
      <c r="BZ1643" s="8"/>
      <c r="CD1643" s="8"/>
    </row>
    <row r="1644" spans="73:82" ht="15.75">
      <c r="BU1644" s="8"/>
      <c r="BZ1644" s="8"/>
      <c r="CD1644" s="8"/>
    </row>
    <row r="1645" spans="73:82" ht="15.75">
      <c r="BU1645" s="8"/>
      <c r="BZ1645" s="8"/>
      <c r="CD1645" s="8"/>
    </row>
    <row r="1646" spans="73:82" ht="15.75">
      <c r="BU1646" s="8"/>
      <c r="BZ1646" s="8"/>
      <c r="CD1646" s="8"/>
    </row>
    <row r="1647" spans="73:82" ht="15.75">
      <c r="BU1647" s="8"/>
      <c r="BZ1647" s="8"/>
      <c r="CD1647" s="8"/>
    </row>
    <row r="1648" spans="73:82" ht="15.75">
      <c r="BU1648" s="8"/>
      <c r="BZ1648" s="8"/>
      <c r="CD1648" s="8"/>
    </row>
    <row r="1649" spans="73:82" ht="15.75">
      <c r="BU1649" s="8"/>
      <c r="BZ1649" s="8"/>
      <c r="CD1649" s="8"/>
    </row>
    <row r="1650" spans="73:82" ht="15.75">
      <c r="BU1650" s="8"/>
      <c r="BZ1650" s="8"/>
      <c r="CD1650" s="8"/>
    </row>
    <row r="1651" spans="73:82" ht="15.75">
      <c r="BU1651" s="8"/>
      <c r="BZ1651" s="8"/>
      <c r="CD1651" s="8"/>
    </row>
    <row r="1652" spans="73:82" ht="15.75">
      <c r="BU1652" s="8"/>
      <c r="BZ1652" s="8"/>
      <c r="CD1652" s="8"/>
    </row>
    <row r="1653" spans="73:82" ht="15.75">
      <c r="BU1653" s="8"/>
      <c r="BZ1653" s="8"/>
      <c r="CD1653" s="8"/>
    </row>
    <row r="1654" spans="73:82" ht="15.75">
      <c r="BU1654" s="8"/>
      <c r="BZ1654" s="8"/>
      <c r="CD1654" s="8"/>
    </row>
    <row r="1655" spans="73:82" ht="15.75">
      <c r="BU1655" s="8"/>
      <c r="BZ1655" s="8"/>
      <c r="CD1655" s="8"/>
    </row>
    <row r="1656" spans="73:82" ht="15.75">
      <c r="BU1656" s="8"/>
      <c r="BZ1656" s="8"/>
      <c r="CD1656" s="8"/>
    </row>
    <row r="1657" spans="73:82" ht="15.75">
      <c r="BU1657" s="8"/>
      <c r="BZ1657" s="8"/>
      <c r="CD1657" s="8"/>
    </row>
    <row r="1658" spans="73:82" ht="15.75">
      <c r="BU1658" s="8"/>
      <c r="BZ1658" s="8"/>
      <c r="CD1658" s="8"/>
    </row>
    <row r="1659" spans="73:82" ht="15.75">
      <c r="BU1659" s="8"/>
      <c r="BZ1659" s="8"/>
      <c r="CD1659" s="8"/>
    </row>
    <row r="1660" spans="73:82" ht="15.75">
      <c r="BU1660" s="8"/>
      <c r="BZ1660" s="8"/>
      <c r="CD1660" s="8"/>
    </row>
    <row r="1661" spans="73:82" ht="15.75">
      <c r="BU1661" s="8"/>
      <c r="BZ1661" s="8"/>
      <c r="CD1661" s="8"/>
    </row>
    <row r="1662" spans="73:82" ht="15.75">
      <c r="BU1662" s="8"/>
      <c r="BZ1662" s="8"/>
      <c r="CD1662" s="8"/>
    </row>
    <row r="1663" spans="73:82" ht="15.75">
      <c r="BU1663" s="8"/>
      <c r="BZ1663" s="8"/>
      <c r="CD1663" s="8"/>
    </row>
    <row r="1664" spans="73:82" ht="15.75">
      <c r="BU1664" s="8"/>
      <c r="BZ1664" s="8"/>
      <c r="CD1664" s="8"/>
    </row>
    <row r="1665" spans="73:82" ht="15.75">
      <c r="BU1665" s="8"/>
      <c r="BZ1665" s="8"/>
      <c r="CD1665" s="8"/>
    </row>
    <row r="1666" spans="73:82" ht="15.75">
      <c r="BU1666" s="8"/>
      <c r="BZ1666" s="8"/>
      <c r="CD1666" s="8"/>
    </row>
    <row r="1667" spans="73:82" ht="15.75">
      <c r="BU1667" s="8"/>
      <c r="BZ1667" s="8"/>
      <c r="CD1667" s="8"/>
    </row>
    <row r="1668" spans="73:82" ht="15.75">
      <c r="BU1668" s="8"/>
      <c r="BZ1668" s="8"/>
      <c r="CD1668" s="8"/>
    </row>
    <row r="1669" spans="73:82" ht="15.75">
      <c r="BU1669" s="8"/>
      <c r="BZ1669" s="8"/>
      <c r="CD1669" s="8"/>
    </row>
    <row r="1670" spans="73:82" ht="15.75">
      <c r="BU1670" s="8"/>
      <c r="BZ1670" s="8"/>
      <c r="CD1670" s="8"/>
    </row>
    <row r="1671" spans="73:82" ht="15.75">
      <c r="BU1671" s="8"/>
      <c r="BZ1671" s="8"/>
      <c r="CD1671" s="8"/>
    </row>
    <row r="1672" spans="73:82" ht="15.75">
      <c r="BU1672" s="8"/>
      <c r="BZ1672" s="8"/>
      <c r="CD1672" s="8"/>
    </row>
    <row r="1673" spans="73:82" ht="15.75">
      <c r="BU1673" s="8"/>
      <c r="BZ1673" s="8"/>
      <c r="CD1673" s="8"/>
    </row>
    <row r="1674" spans="73:82" ht="15.75">
      <c r="BU1674" s="8"/>
      <c r="BZ1674" s="8"/>
      <c r="CD1674" s="8"/>
    </row>
    <row r="1675" spans="73:82" ht="15.75">
      <c r="BU1675" s="8"/>
      <c r="BZ1675" s="8"/>
      <c r="CD1675" s="8"/>
    </row>
    <row r="1676" spans="73:82" ht="15.75">
      <c r="BU1676" s="8"/>
      <c r="BZ1676" s="8"/>
      <c r="CD1676" s="8"/>
    </row>
    <row r="1677" spans="73:82" ht="15.75">
      <c r="BU1677" s="8"/>
      <c r="BZ1677" s="8"/>
      <c r="CD1677" s="8"/>
    </row>
    <row r="1678" spans="73:82" ht="15.75">
      <c r="BU1678" s="8"/>
      <c r="BZ1678" s="8"/>
      <c r="CD1678" s="8"/>
    </row>
    <row r="1679" spans="73:82" ht="15.75">
      <c r="BU1679" s="8"/>
      <c r="BZ1679" s="8"/>
      <c r="CD1679" s="8"/>
    </row>
    <row r="1680" spans="73:82" ht="15.75">
      <c r="BU1680" s="8"/>
      <c r="BZ1680" s="8"/>
      <c r="CD1680" s="8"/>
    </row>
    <row r="1681" spans="73:82" ht="15.75">
      <c r="BU1681" s="8"/>
      <c r="BZ1681" s="8"/>
      <c r="CD1681" s="8"/>
    </row>
    <row r="1682" spans="73:82" ht="15.75">
      <c r="BU1682" s="8"/>
      <c r="BZ1682" s="8"/>
      <c r="CD1682" s="8"/>
    </row>
    <row r="1683" spans="73:82" ht="15.75">
      <c r="BU1683" s="8"/>
      <c r="BZ1683" s="8"/>
      <c r="CD1683" s="8"/>
    </row>
    <row r="1684" spans="73:82" ht="15.75">
      <c r="BU1684" s="8"/>
      <c r="BZ1684" s="8"/>
      <c r="CD1684" s="8"/>
    </row>
    <row r="1685" spans="73:82" ht="15.75">
      <c r="BU1685" s="8"/>
      <c r="BZ1685" s="8"/>
      <c r="CD1685" s="8"/>
    </row>
    <row r="1686" spans="73:82" ht="15.75">
      <c r="BU1686" s="8"/>
      <c r="BZ1686" s="8"/>
      <c r="CD1686" s="8"/>
    </row>
    <row r="1687" spans="73:82" ht="15.75">
      <c r="BU1687" s="8"/>
      <c r="BZ1687" s="8"/>
      <c r="CD1687" s="8"/>
    </row>
    <row r="1688" spans="73:82" ht="15.75">
      <c r="BU1688" s="8"/>
      <c r="BZ1688" s="8"/>
      <c r="CD1688" s="8"/>
    </row>
    <row r="1689" spans="73:82" ht="15.75">
      <c r="BU1689" s="8"/>
      <c r="BZ1689" s="8"/>
      <c r="CD1689" s="8"/>
    </row>
    <row r="1690" spans="73:82" ht="15.75">
      <c r="BU1690" s="8"/>
      <c r="BZ1690" s="8"/>
      <c r="CD1690" s="8"/>
    </row>
    <row r="1691" spans="73:82" ht="15.75">
      <c r="BU1691" s="8"/>
      <c r="BZ1691" s="8"/>
      <c r="CD1691" s="8"/>
    </row>
    <row r="1692" spans="73:82" ht="15.75">
      <c r="BU1692" s="8"/>
      <c r="BZ1692" s="8"/>
      <c r="CD1692" s="8"/>
    </row>
    <row r="1693" spans="73:82" ht="15.75">
      <c r="BU1693" s="8"/>
      <c r="BZ1693" s="8"/>
      <c r="CD1693" s="8"/>
    </row>
    <row r="1694" spans="73:82" ht="15.75">
      <c r="BU1694" s="8"/>
      <c r="BZ1694" s="8"/>
      <c r="CD1694" s="8"/>
    </row>
    <row r="1695" spans="73:82" ht="15.75">
      <c r="BU1695" s="8"/>
      <c r="BZ1695" s="8"/>
      <c r="CD1695" s="8"/>
    </row>
    <row r="1696" spans="73:82" ht="15.75">
      <c r="BU1696" s="8"/>
      <c r="BZ1696" s="8"/>
      <c r="CD1696" s="8"/>
    </row>
    <row r="1697" spans="73:82" ht="15.75">
      <c r="BU1697" s="8"/>
      <c r="BZ1697" s="8"/>
      <c r="CD1697" s="8"/>
    </row>
    <row r="1698" spans="73:82" ht="15.75">
      <c r="BU1698" s="8"/>
      <c r="BZ1698" s="8"/>
      <c r="CD1698" s="8"/>
    </row>
    <row r="1699" spans="73:82" ht="15.75">
      <c r="BU1699" s="8"/>
      <c r="BZ1699" s="8"/>
      <c r="CD1699" s="8"/>
    </row>
    <row r="1700" spans="73:82" ht="15.75">
      <c r="BU1700" s="8"/>
      <c r="BZ1700" s="8"/>
      <c r="CD1700" s="8"/>
    </row>
    <row r="1701" spans="73:82" ht="15.75">
      <c r="BU1701" s="8"/>
      <c r="BZ1701" s="8"/>
      <c r="CD1701" s="8"/>
    </row>
    <row r="1702" spans="73:82" ht="15.75">
      <c r="BU1702" s="8"/>
      <c r="BZ1702" s="8"/>
      <c r="CD1702" s="8"/>
    </row>
    <row r="1703" spans="73:82" ht="15.75">
      <c r="BU1703" s="8"/>
      <c r="BZ1703" s="8"/>
      <c r="CD1703" s="8"/>
    </row>
    <row r="1704" spans="73:82" ht="15.75">
      <c r="BU1704" s="8"/>
      <c r="BZ1704" s="8"/>
      <c r="CD1704" s="8"/>
    </row>
    <row r="1705" spans="73:82" ht="15.75">
      <c r="BU1705" s="8"/>
      <c r="BZ1705" s="8"/>
      <c r="CD1705" s="8"/>
    </row>
    <row r="1706" spans="73:82" ht="15.75">
      <c r="BU1706" s="8"/>
      <c r="BZ1706" s="8"/>
      <c r="CD1706" s="8"/>
    </row>
    <row r="1707" spans="73:82" ht="15.75">
      <c r="BU1707" s="8"/>
      <c r="BZ1707" s="8"/>
      <c r="CD1707" s="8"/>
    </row>
    <row r="1708" spans="73:82" ht="15.75">
      <c r="BU1708" s="8"/>
      <c r="BZ1708" s="8"/>
      <c r="CD1708" s="8"/>
    </row>
    <row r="1709" spans="73:82" ht="15.75">
      <c r="BU1709" s="8"/>
      <c r="BZ1709" s="8"/>
      <c r="CD1709" s="8"/>
    </row>
    <row r="1710" spans="73:82" ht="15.75">
      <c r="BU1710" s="8"/>
      <c r="BZ1710" s="8"/>
      <c r="CD1710" s="8"/>
    </row>
    <row r="1711" spans="73:82" ht="15.75">
      <c r="BU1711" s="8"/>
      <c r="BZ1711" s="8"/>
      <c r="CD1711" s="8"/>
    </row>
    <row r="1712" spans="73:82" ht="15.75">
      <c r="BU1712" s="8"/>
      <c r="BZ1712" s="8"/>
      <c r="CD1712" s="8"/>
    </row>
    <row r="1713" spans="73:82" ht="15.75">
      <c r="BU1713" s="8"/>
      <c r="BZ1713" s="8"/>
      <c r="CD1713" s="8"/>
    </row>
    <row r="1714" spans="73:82" ht="15.75">
      <c r="BU1714" s="8"/>
      <c r="BZ1714" s="8"/>
      <c r="CD1714" s="8"/>
    </row>
    <row r="1715" spans="73:82" ht="15.75">
      <c r="BU1715" s="8"/>
      <c r="BZ1715" s="8"/>
      <c r="CD1715" s="8"/>
    </row>
    <row r="1716" spans="73:82" ht="15.75">
      <c r="BU1716" s="8"/>
      <c r="BZ1716" s="8"/>
      <c r="CD1716" s="8"/>
    </row>
    <row r="1717" spans="73:82" ht="15.75">
      <c r="BU1717" s="8"/>
      <c r="BZ1717" s="8"/>
      <c r="CD1717" s="8"/>
    </row>
    <row r="1718" spans="73:82" ht="15.75">
      <c r="BU1718" s="8"/>
      <c r="BZ1718" s="8"/>
      <c r="CD1718" s="8"/>
    </row>
    <row r="1719" spans="73:82" ht="15.75">
      <c r="BU1719" s="8"/>
      <c r="BZ1719" s="8"/>
      <c r="CD1719" s="8"/>
    </row>
    <row r="1720" spans="73:82" ht="15.75">
      <c r="BU1720" s="8"/>
      <c r="BZ1720" s="8"/>
      <c r="CD1720" s="8"/>
    </row>
    <row r="1721" spans="73:82" ht="15.75">
      <c r="BU1721" s="8"/>
      <c r="BZ1721" s="8"/>
      <c r="CD1721" s="8"/>
    </row>
    <row r="1722" spans="73:82" ht="15.75">
      <c r="BU1722" s="8"/>
      <c r="BZ1722" s="8"/>
      <c r="CD1722" s="8"/>
    </row>
    <row r="1723" spans="73:82" ht="15.75">
      <c r="BU1723" s="8"/>
      <c r="BZ1723" s="8"/>
      <c r="CD1723" s="8"/>
    </row>
    <row r="1724" spans="73:82" ht="15.75">
      <c r="BU1724" s="8"/>
      <c r="BZ1724" s="8"/>
      <c r="CD1724" s="8"/>
    </row>
    <row r="1725" spans="73:82" ht="15.75">
      <c r="BU1725" s="8"/>
      <c r="BZ1725" s="8"/>
      <c r="CD1725" s="8"/>
    </row>
    <row r="1726" spans="73:82" ht="15.75">
      <c r="BU1726" s="8"/>
      <c r="BZ1726" s="8"/>
      <c r="CD1726" s="8"/>
    </row>
    <row r="1727" spans="73:82" ht="15.75">
      <c r="BU1727" s="8"/>
      <c r="BZ1727" s="8"/>
      <c r="CD1727" s="8"/>
    </row>
    <row r="1728" spans="73:82" ht="15.75">
      <c r="BU1728" s="8"/>
      <c r="BZ1728" s="8"/>
      <c r="CD1728" s="8"/>
    </row>
    <row r="1729" spans="73:82" ht="15.75">
      <c r="BU1729" s="8"/>
      <c r="BZ1729" s="8"/>
      <c r="CD1729" s="8"/>
    </row>
    <row r="1730" spans="73:82" ht="15.75">
      <c r="BU1730" s="8"/>
      <c r="BZ1730" s="8"/>
      <c r="CD1730" s="8"/>
    </row>
    <row r="1731" spans="73:82" ht="15.75">
      <c r="BU1731" s="8"/>
      <c r="BZ1731" s="8"/>
      <c r="CD1731" s="8"/>
    </row>
    <row r="1732" spans="73:82" ht="15.75">
      <c r="BU1732" s="8"/>
      <c r="BZ1732" s="8"/>
      <c r="CD1732" s="8"/>
    </row>
    <row r="1733" spans="73:82" ht="15.75">
      <c r="BU1733" s="8"/>
      <c r="BZ1733" s="8"/>
      <c r="CD1733" s="8"/>
    </row>
    <row r="1734" spans="73:82" ht="15.75">
      <c r="BU1734" s="8"/>
      <c r="BZ1734" s="8"/>
      <c r="CD1734" s="8"/>
    </row>
    <row r="1735" spans="73:82" ht="15.75">
      <c r="BU1735" s="8"/>
      <c r="BZ1735" s="8"/>
      <c r="CD1735" s="8"/>
    </row>
    <row r="1736" spans="73:82" ht="15.75">
      <c r="BU1736" s="8"/>
      <c r="BZ1736" s="8"/>
      <c r="CD1736" s="8"/>
    </row>
    <row r="1737" spans="73:82" ht="15.75">
      <c r="BU1737" s="8"/>
      <c r="BZ1737" s="8"/>
      <c r="CD1737" s="8"/>
    </row>
    <row r="1738" spans="73:82" ht="15.75">
      <c r="BU1738" s="8"/>
      <c r="BZ1738" s="8"/>
      <c r="CD1738" s="8"/>
    </row>
    <row r="1739" spans="73:82" ht="15.75">
      <c r="BU1739" s="8"/>
      <c r="BZ1739" s="8"/>
      <c r="CD1739" s="8"/>
    </row>
    <row r="1740" spans="73:82" ht="15.75">
      <c r="BU1740" s="8"/>
      <c r="BZ1740" s="8"/>
      <c r="CD1740" s="8"/>
    </row>
    <row r="1741" spans="73:82" ht="15.75">
      <c r="BU1741" s="8"/>
      <c r="BZ1741" s="8"/>
      <c r="CD1741" s="8"/>
    </row>
    <row r="1742" spans="73:82" ht="15.75">
      <c r="BU1742" s="8"/>
      <c r="BZ1742" s="8"/>
      <c r="CD1742" s="8"/>
    </row>
    <row r="1743" spans="73:82" ht="15.75">
      <c r="BU1743" s="8"/>
      <c r="BZ1743" s="8"/>
      <c r="CD1743" s="8"/>
    </row>
    <row r="1744" spans="73:82" ht="15.75">
      <c r="BU1744" s="8"/>
      <c r="BZ1744" s="8"/>
      <c r="CD1744" s="8"/>
    </row>
    <row r="1745" spans="73:82" ht="15.75">
      <c r="BU1745" s="8"/>
      <c r="BZ1745" s="8"/>
      <c r="CD1745" s="8"/>
    </row>
    <row r="1746" spans="73:82" ht="15.75">
      <c r="BU1746" s="8"/>
      <c r="BZ1746" s="8"/>
      <c r="CD1746" s="8"/>
    </row>
    <row r="1747" spans="73:82" ht="15.75">
      <c r="BU1747" s="8"/>
      <c r="BZ1747" s="8"/>
      <c r="CD1747" s="8"/>
    </row>
    <row r="1748" spans="73:82" ht="15.75">
      <c r="BU1748" s="8"/>
      <c r="BZ1748" s="8"/>
      <c r="CD1748" s="8"/>
    </row>
    <row r="1749" spans="73:82" ht="15.75">
      <c r="BU1749" s="8"/>
      <c r="BZ1749" s="8"/>
      <c r="CD1749" s="8"/>
    </row>
    <row r="1750" spans="73:82" ht="15.75">
      <c r="BU1750" s="8"/>
      <c r="BZ1750" s="8"/>
      <c r="CD1750" s="8"/>
    </row>
    <row r="1751" spans="73:82" ht="15.75">
      <c r="BU1751" s="8"/>
      <c r="BZ1751" s="8"/>
      <c r="CD1751" s="8"/>
    </row>
    <row r="1752" spans="73:82" ht="15.75">
      <c r="BU1752" s="8"/>
      <c r="BZ1752" s="8"/>
      <c r="CD1752" s="8"/>
    </row>
    <row r="1753" spans="73:82" ht="15.75">
      <c r="BU1753" s="8"/>
      <c r="BZ1753" s="8"/>
      <c r="CD1753" s="8"/>
    </row>
    <row r="1754" spans="73:82" ht="15.75">
      <c r="BU1754" s="8"/>
      <c r="BZ1754" s="8"/>
      <c r="CD1754" s="8"/>
    </row>
    <row r="1755" spans="73:82" ht="15.75">
      <c r="BU1755" s="8"/>
      <c r="BZ1755" s="8"/>
      <c r="CD1755" s="8"/>
    </row>
    <row r="1756" spans="73:82" ht="15.75">
      <c r="BU1756" s="8"/>
      <c r="BZ1756" s="8"/>
      <c r="CD1756" s="8"/>
    </row>
    <row r="1757" spans="73:82" ht="15.75">
      <c r="BU1757" s="8"/>
      <c r="BZ1757" s="8"/>
      <c r="CD1757" s="8"/>
    </row>
    <row r="1758" spans="73:82" ht="15.75">
      <c r="BU1758" s="8"/>
      <c r="BZ1758" s="8"/>
      <c r="CD1758" s="8"/>
    </row>
    <row r="1759" spans="73:82" ht="15.75">
      <c r="BU1759" s="8"/>
      <c r="BZ1759" s="8"/>
      <c r="CD1759" s="8"/>
    </row>
    <row r="1760" spans="73:82" ht="15.75">
      <c r="BU1760" s="8"/>
      <c r="BZ1760" s="8"/>
      <c r="CD1760" s="8"/>
    </row>
    <row r="1761" spans="73:82" ht="15.75">
      <c r="BU1761" s="8"/>
      <c r="BZ1761" s="8"/>
      <c r="CD1761" s="8"/>
    </row>
    <row r="1762" spans="73:82" ht="15.75">
      <c r="BU1762" s="8"/>
      <c r="BZ1762" s="8"/>
      <c r="CD1762" s="8"/>
    </row>
    <row r="1763" spans="73:82" ht="15.75">
      <c r="BU1763" s="8"/>
      <c r="BZ1763" s="8"/>
      <c r="CD1763" s="8"/>
    </row>
    <row r="1764" spans="73:82" ht="15.75">
      <c r="BU1764" s="8"/>
      <c r="BZ1764" s="8"/>
      <c r="CD1764" s="8"/>
    </row>
    <row r="1765" spans="73:82" ht="15.75">
      <c r="BU1765" s="8"/>
      <c r="BZ1765" s="8"/>
      <c r="CD1765" s="8"/>
    </row>
    <row r="1766" spans="73:82" ht="15.75">
      <c r="BU1766" s="8"/>
      <c r="BZ1766" s="8"/>
      <c r="CD1766" s="8"/>
    </row>
    <row r="1767" spans="73:82" ht="15.75">
      <c r="BU1767" s="8"/>
      <c r="BZ1767" s="8"/>
      <c r="CD1767" s="8"/>
    </row>
    <row r="1768" spans="73:82" ht="15.75">
      <c r="BU1768" s="8"/>
      <c r="BZ1768" s="8"/>
      <c r="CD1768" s="8"/>
    </row>
    <row r="1769" spans="73:82" ht="15.75">
      <c r="BU1769" s="8"/>
      <c r="BZ1769" s="8"/>
      <c r="CD1769" s="8"/>
    </row>
    <row r="1770" spans="73:82" ht="15.75">
      <c r="BU1770" s="8"/>
      <c r="BZ1770" s="8"/>
      <c r="CD1770" s="8"/>
    </row>
    <row r="1771" spans="73:82" ht="15.75">
      <c r="BU1771" s="8"/>
      <c r="BZ1771" s="8"/>
      <c r="CD1771" s="8"/>
    </row>
    <row r="1772" spans="73:82" ht="15.75">
      <c r="BU1772" s="8"/>
      <c r="BZ1772" s="8"/>
      <c r="CD1772" s="8"/>
    </row>
    <row r="1773" spans="73:82" ht="15.75">
      <c r="BU1773" s="8"/>
      <c r="BZ1773" s="8"/>
      <c r="CD1773" s="8"/>
    </row>
    <row r="1774" spans="73:82" ht="15.75">
      <c r="BU1774" s="8"/>
      <c r="BZ1774" s="8"/>
      <c r="CD1774" s="8"/>
    </row>
    <row r="1775" spans="73:82" ht="15.75">
      <c r="BU1775" s="8"/>
      <c r="BZ1775" s="8"/>
      <c r="CD1775" s="8"/>
    </row>
    <row r="1776" spans="73:82" ht="15.75">
      <c r="BU1776" s="8"/>
      <c r="BZ1776" s="8"/>
      <c r="CD1776" s="8"/>
    </row>
    <row r="1777" spans="73:82" ht="15.75">
      <c r="BU1777" s="8"/>
      <c r="BZ1777" s="8"/>
      <c r="CD1777" s="8"/>
    </row>
    <row r="1778" spans="73:82" ht="15.75">
      <c r="BU1778" s="8"/>
      <c r="BZ1778" s="8"/>
      <c r="CD1778" s="8"/>
    </row>
    <row r="1779" spans="73:82" ht="15.75">
      <c r="BU1779" s="8"/>
      <c r="BZ1779" s="8"/>
      <c r="CD1779" s="8"/>
    </row>
    <row r="1780" spans="73:82" ht="15.75">
      <c r="BU1780" s="8"/>
      <c r="BZ1780" s="8"/>
      <c r="CD1780" s="8"/>
    </row>
    <row r="1781" spans="73:82" ht="15.75">
      <c r="BU1781" s="8"/>
      <c r="BZ1781" s="8"/>
      <c r="CD1781" s="8"/>
    </row>
    <row r="1782" spans="73:82" ht="15.75">
      <c r="BU1782" s="8"/>
      <c r="BZ1782" s="8"/>
      <c r="CD1782" s="8"/>
    </row>
    <row r="1783" spans="73:82" ht="15.75">
      <c r="BU1783" s="8"/>
      <c r="BZ1783" s="8"/>
      <c r="CD1783" s="8"/>
    </row>
    <row r="1784" spans="73:82" ht="15.75">
      <c r="BU1784" s="8"/>
      <c r="BZ1784" s="8"/>
      <c r="CD1784" s="8"/>
    </row>
    <row r="1785" spans="73:82" ht="15.75">
      <c r="BU1785" s="8"/>
      <c r="BZ1785" s="8"/>
      <c r="CD1785" s="8"/>
    </row>
    <row r="1786" spans="73:82" ht="15.75">
      <c r="BU1786" s="8"/>
      <c r="BZ1786" s="8"/>
      <c r="CD1786" s="8"/>
    </row>
    <row r="1787" spans="73:82" ht="15.75">
      <c r="BU1787" s="8"/>
      <c r="BZ1787" s="8"/>
      <c r="CD1787" s="8"/>
    </row>
    <row r="1788" spans="73:82" ht="15.75">
      <c r="BU1788" s="8"/>
      <c r="BZ1788" s="8"/>
      <c r="CD1788" s="8"/>
    </row>
    <row r="1789" spans="73:82" ht="15.75">
      <c r="BU1789" s="8"/>
      <c r="BZ1789" s="8"/>
      <c r="CD1789" s="8"/>
    </row>
    <row r="1790" spans="73:82" ht="15.75">
      <c r="BU1790" s="8"/>
      <c r="BZ1790" s="8"/>
      <c r="CD1790" s="8"/>
    </row>
    <row r="1791" spans="73:82" ht="15.75">
      <c r="BU1791" s="8"/>
      <c r="BZ1791" s="8"/>
      <c r="CD1791" s="8"/>
    </row>
    <row r="1792" spans="73:82" ht="15.75">
      <c r="BU1792" s="8"/>
      <c r="BZ1792" s="8"/>
      <c r="CD1792" s="8"/>
    </row>
    <row r="1793" spans="73:82" ht="15.75">
      <c r="BU1793" s="8"/>
      <c r="BZ1793" s="8"/>
      <c r="CD1793" s="8"/>
    </row>
    <row r="1794" spans="73:82" ht="15.75">
      <c r="BU1794" s="8"/>
      <c r="BZ1794" s="8"/>
      <c r="CD1794" s="8"/>
    </row>
    <row r="1795" spans="73:82" ht="15.75">
      <c r="BU1795" s="8"/>
      <c r="BZ1795" s="8"/>
      <c r="CD1795" s="8"/>
    </row>
    <row r="1796" spans="73:82" ht="15.75">
      <c r="BU1796" s="8"/>
      <c r="BZ1796" s="8"/>
      <c r="CD1796" s="8"/>
    </row>
    <row r="1797" spans="73:82" ht="15.75">
      <c r="BU1797" s="8"/>
      <c r="BZ1797" s="8"/>
      <c r="CD1797" s="8"/>
    </row>
    <row r="1798" spans="73:82" ht="15.75">
      <c r="BU1798" s="8"/>
      <c r="BZ1798" s="8"/>
      <c r="CD1798" s="8"/>
    </row>
    <row r="1799" spans="73:82" ht="15.75">
      <c r="BU1799" s="8"/>
      <c r="BZ1799" s="8"/>
      <c r="CD1799" s="8"/>
    </row>
    <row r="1800" spans="73:82" ht="15.75">
      <c r="BU1800" s="8"/>
      <c r="BZ1800" s="8"/>
      <c r="CD1800" s="8"/>
    </row>
    <row r="1801" spans="73:82" ht="15.75">
      <c r="BU1801" s="8"/>
      <c r="BZ1801" s="8"/>
      <c r="CD1801" s="8"/>
    </row>
    <row r="1802" spans="73:82" ht="15.75">
      <c r="BU1802" s="8"/>
      <c r="BZ1802" s="8"/>
      <c r="CD1802" s="8"/>
    </row>
    <row r="1803" spans="73:82" ht="15.75">
      <c r="BU1803" s="8"/>
      <c r="BZ1803" s="8"/>
      <c r="CD1803" s="8"/>
    </row>
    <row r="1804" spans="73:82" ht="15.75">
      <c r="BU1804" s="8"/>
      <c r="BZ1804" s="8"/>
      <c r="CD1804" s="8"/>
    </row>
    <row r="1805" spans="73:82" ht="15.75">
      <c r="BU1805" s="8"/>
      <c r="BZ1805" s="8"/>
      <c r="CD1805" s="8"/>
    </row>
    <row r="1806" spans="73:82" ht="15.75">
      <c r="BU1806" s="8"/>
      <c r="BZ1806" s="8"/>
      <c r="CD1806" s="8"/>
    </row>
    <row r="1807" spans="73:82" ht="15.75">
      <c r="BU1807" s="8"/>
      <c r="BZ1807" s="8"/>
      <c r="CD1807" s="8"/>
    </row>
    <row r="1808" spans="73:82" ht="15.75">
      <c r="BU1808" s="8"/>
      <c r="BZ1808" s="8"/>
      <c r="CD1808" s="8"/>
    </row>
    <row r="1809" spans="73:82" ht="15.75">
      <c r="BU1809" s="8"/>
      <c r="BZ1809" s="8"/>
      <c r="CD1809" s="8"/>
    </row>
    <row r="1810" spans="73:82" ht="15.75">
      <c r="BU1810" s="8"/>
      <c r="BZ1810" s="8"/>
      <c r="CD1810" s="8"/>
    </row>
    <row r="1811" spans="73:82" ht="15.75">
      <c r="BU1811" s="8"/>
      <c r="BZ1811" s="8"/>
      <c r="CD1811" s="8"/>
    </row>
    <row r="1812" spans="73:82" ht="15.75">
      <c r="BU1812" s="8"/>
      <c r="BZ1812" s="8"/>
      <c r="CD1812" s="8"/>
    </row>
    <row r="1813" spans="73:82" ht="15.75">
      <c r="BU1813" s="8"/>
      <c r="BZ1813" s="8"/>
      <c r="CD1813" s="8"/>
    </row>
    <row r="1814" spans="73:82" ht="15.75">
      <c r="BU1814" s="8"/>
      <c r="BZ1814" s="8"/>
      <c r="CD1814" s="8"/>
    </row>
    <row r="1815" spans="73:82" ht="15.75">
      <c r="BU1815" s="8"/>
      <c r="BZ1815" s="8"/>
      <c r="CD1815" s="8"/>
    </row>
    <row r="1816" spans="73:82" ht="15.75">
      <c r="BU1816" s="8"/>
      <c r="BZ1816" s="8"/>
      <c r="CD1816" s="8"/>
    </row>
    <row r="1817" spans="73:82" ht="15.75">
      <c r="BU1817" s="8"/>
      <c r="BZ1817" s="8"/>
      <c r="CD1817" s="8"/>
    </row>
    <row r="1818" spans="73:82" ht="15.75">
      <c r="BU1818" s="8"/>
      <c r="BZ1818" s="8"/>
      <c r="CD1818" s="8"/>
    </row>
    <row r="1819" spans="73:82" ht="15.75">
      <c r="BU1819" s="8"/>
      <c r="BZ1819" s="8"/>
      <c r="CD1819" s="8"/>
    </row>
    <row r="1820" spans="73:82" ht="15.75">
      <c r="BU1820" s="8"/>
      <c r="BZ1820" s="8"/>
      <c r="CD1820" s="8"/>
    </row>
    <row r="1821" spans="73:82" ht="15.75">
      <c r="BU1821" s="8"/>
      <c r="BZ1821" s="8"/>
      <c r="CD1821" s="8"/>
    </row>
    <row r="1822" spans="73:82" ht="15.75">
      <c r="BU1822" s="8"/>
      <c r="BZ1822" s="8"/>
      <c r="CD1822" s="8"/>
    </row>
    <row r="1823" spans="73:82" ht="15.75">
      <c r="BU1823" s="8"/>
      <c r="BZ1823" s="8"/>
      <c r="CD1823" s="8"/>
    </row>
    <row r="1824" spans="73:82" ht="15.75">
      <c r="BU1824" s="8"/>
      <c r="BZ1824" s="8"/>
      <c r="CD1824" s="8"/>
    </row>
    <row r="1825" spans="73:82" ht="15.75">
      <c r="BU1825" s="8"/>
      <c r="BZ1825" s="8"/>
      <c r="CD1825" s="8"/>
    </row>
    <row r="1826" spans="73:82" ht="15.75">
      <c r="BU1826" s="8"/>
      <c r="BZ1826" s="8"/>
      <c r="CD1826" s="8"/>
    </row>
    <row r="1827" spans="73:82" ht="15.75">
      <c r="BU1827" s="8"/>
      <c r="BZ1827" s="8"/>
      <c r="CD1827" s="8"/>
    </row>
    <row r="1828" spans="73:82" ht="15.75">
      <c r="BU1828" s="8"/>
      <c r="BZ1828" s="8"/>
      <c r="CD1828" s="8"/>
    </row>
    <row r="1829" spans="73:82" ht="15.75">
      <c r="BU1829" s="8"/>
      <c r="BZ1829" s="8"/>
      <c r="CD1829" s="8"/>
    </row>
    <row r="1830" spans="73:82" ht="15.75">
      <c r="BU1830" s="8"/>
      <c r="BZ1830" s="8"/>
      <c r="CD1830" s="8"/>
    </row>
    <row r="1831" spans="73:82" ht="15.75">
      <c r="BU1831" s="8"/>
      <c r="BZ1831" s="8"/>
      <c r="CD1831" s="8"/>
    </row>
    <row r="1832" spans="73:82" ht="15.75">
      <c r="BU1832" s="8"/>
      <c r="BZ1832" s="8"/>
      <c r="CD1832" s="8"/>
    </row>
    <row r="1833" spans="73:82" ht="15.75">
      <c r="BU1833" s="8"/>
      <c r="BZ1833" s="8"/>
      <c r="CD1833" s="8"/>
    </row>
    <row r="1834" spans="73:82" ht="15.75">
      <c r="BU1834" s="8"/>
      <c r="BZ1834" s="8"/>
      <c r="CD1834" s="8"/>
    </row>
    <row r="1835" spans="73:82" ht="15.75">
      <c r="BU1835" s="8"/>
      <c r="BZ1835" s="8"/>
      <c r="CD1835" s="8"/>
    </row>
    <row r="1836" spans="73:82" ht="15.75">
      <c r="BU1836" s="8"/>
      <c r="BZ1836" s="8"/>
      <c r="CD1836" s="8"/>
    </row>
    <row r="1837" spans="73:82" ht="15.75">
      <c r="BU1837" s="8"/>
      <c r="BZ1837" s="8"/>
      <c r="CD1837" s="8"/>
    </row>
    <row r="1838" spans="73:82" ht="15.75">
      <c r="BU1838" s="8"/>
      <c r="BZ1838" s="8"/>
      <c r="CD1838" s="8"/>
    </row>
    <row r="1839" spans="73:82" ht="15.75">
      <c r="BU1839" s="8"/>
      <c r="BZ1839" s="8"/>
      <c r="CD1839" s="8"/>
    </row>
    <row r="1840" spans="73:82" ht="15.75">
      <c r="BU1840" s="8"/>
      <c r="BZ1840" s="8"/>
      <c r="CD1840" s="8"/>
    </row>
    <row r="1841" spans="73:82" ht="15.75">
      <c r="BU1841" s="8"/>
      <c r="BZ1841" s="8"/>
      <c r="CD1841" s="8"/>
    </row>
    <row r="1842" spans="73:82" ht="15.75">
      <c r="BU1842" s="8"/>
      <c r="BZ1842" s="8"/>
      <c r="CD1842" s="8"/>
    </row>
    <row r="1843" spans="73:82" ht="15.75">
      <c r="BU1843" s="8"/>
      <c r="BZ1843" s="8"/>
      <c r="CD1843" s="8"/>
    </row>
    <row r="1844" spans="73:82" ht="15.75">
      <c r="BU1844" s="8"/>
      <c r="BZ1844" s="8"/>
      <c r="CD1844" s="8"/>
    </row>
    <row r="1845" spans="73:82" ht="15.75">
      <c r="BU1845" s="8"/>
      <c r="BZ1845" s="8"/>
      <c r="CD1845" s="8"/>
    </row>
    <row r="1846" spans="73:82" ht="15.75">
      <c r="BU1846" s="8"/>
      <c r="BZ1846" s="8"/>
      <c r="CD1846" s="8"/>
    </row>
    <row r="1847" spans="73:82" ht="15.75">
      <c r="BU1847" s="8"/>
      <c r="BZ1847" s="8"/>
      <c r="CD1847" s="8"/>
    </row>
    <row r="1848" spans="73:82" ht="15.75">
      <c r="BU1848" s="8"/>
      <c r="BZ1848" s="8"/>
      <c r="CD1848" s="8"/>
    </row>
    <row r="1849" spans="73:82" ht="15.75">
      <c r="BU1849" s="8"/>
      <c r="BZ1849" s="8"/>
      <c r="CD1849" s="8"/>
    </row>
    <row r="1850" spans="73:82" ht="15.75">
      <c r="BU1850" s="8"/>
      <c r="BZ1850" s="8"/>
      <c r="CD1850" s="8"/>
    </row>
    <row r="1851" spans="73:82" ht="15.75">
      <c r="BU1851" s="8"/>
      <c r="BZ1851" s="8"/>
      <c r="CD1851" s="8"/>
    </row>
    <row r="1852" spans="73:82" ht="15.75">
      <c r="BU1852" s="8"/>
      <c r="BZ1852" s="8"/>
      <c r="CD1852" s="8"/>
    </row>
    <row r="1853" spans="73:82" ht="15.75">
      <c r="BU1853" s="8"/>
      <c r="BZ1853" s="8"/>
      <c r="CD1853" s="8"/>
    </row>
    <row r="1854" spans="73:82" ht="15.75">
      <c r="BU1854" s="8"/>
      <c r="BZ1854" s="8"/>
      <c r="CD1854" s="8"/>
    </row>
    <row r="1855" spans="73:82" ht="15.75">
      <c r="BU1855" s="8"/>
      <c r="BZ1855" s="8"/>
      <c r="CD1855" s="8"/>
    </row>
    <row r="1856" spans="73:82" ht="15.75">
      <c r="BU1856" s="8"/>
      <c r="BZ1856" s="8"/>
      <c r="CD1856" s="8"/>
    </row>
    <row r="1857" spans="73:82" ht="15.75">
      <c r="BU1857" s="8"/>
      <c r="BZ1857" s="8"/>
      <c r="CD1857" s="8"/>
    </row>
    <row r="1858" spans="73:82" ht="15.75">
      <c r="BU1858" s="8"/>
      <c r="BZ1858" s="8"/>
      <c r="CD1858" s="8"/>
    </row>
    <row r="1859" spans="73:82" ht="15.75">
      <c r="BU1859" s="8"/>
      <c r="BZ1859" s="8"/>
      <c r="CD1859" s="8"/>
    </row>
    <row r="1860" spans="73:82" ht="15.75">
      <c r="BU1860" s="8"/>
      <c r="BZ1860" s="8"/>
      <c r="CD1860" s="8"/>
    </row>
    <row r="1861" spans="73:82" ht="15.75">
      <c r="BU1861" s="8"/>
      <c r="BZ1861" s="8"/>
      <c r="CD1861" s="8"/>
    </row>
    <row r="1862" spans="73:82" ht="15.75">
      <c r="BU1862" s="8"/>
      <c r="BZ1862" s="8"/>
      <c r="CD1862" s="8"/>
    </row>
    <row r="1863" spans="73:82" ht="15.75">
      <c r="BU1863" s="8"/>
      <c r="BZ1863" s="8"/>
      <c r="CD1863" s="8"/>
    </row>
    <row r="1864" spans="73:82" ht="15.75">
      <c r="BU1864" s="8"/>
      <c r="BZ1864" s="8"/>
      <c r="CD1864" s="8"/>
    </row>
    <row r="1865" spans="73:82" ht="15.75">
      <c r="BU1865" s="8"/>
      <c r="BZ1865" s="8"/>
      <c r="CD1865" s="8"/>
    </row>
    <row r="1866" spans="73:82" ht="15.75">
      <c r="BU1866" s="8"/>
      <c r="BZ1866" s="8"/>
      <c r="CD1866" s="8"/>
    </row>
    <row r="1867" spans="73:82" ht="15.75">
      <c r="BU1867" s="8"/>
      <c r="BZ1867" s="8"/>
      <c r="CD1867" s="8"/>
    </row>
    <row r="1868" spans="73:82" ht="15.75">
      <c r="BU1868" s="8"/>
      <c r="BZ1868" s="8"/>
      <c r="CD1868" s="8"/>
    </row>
    <row r="1869" spans="73:82" ht="15.75">
      <c r="BU1869" s="8"/>
      <c r="BZ1869" s="8"/>
      <c r="CD1869" s="8"/>
    </row>
    <row r="1870" spans="73:82" ht="15.75">
      <c r="BU1870" s="8"/>
      <c r="BZ1870" s="8"/>
      <c r="CD1870" s="8"/>
    </row>
    <row r="1871" spans="73:82" ht="15.75">
      <c r="BU1871" s="8"/>
      <c r="BZ1871" s="8"/>
      <c r="CD1871" s="8"/>
    </row>
    <row r="1872" spans="73:82" ht="15.75">
      <c r="BU1872" s="8"/>
      <c r="BZ1872" s="8"/>
      <c r="CD1872" s="8"/>
    </row>
    <row r="1873" spans="73:82" ht="15.75">
      <c r="BU1873" s="8"/>
      <c r="BZ1873" s="8"/>
      <c r="CD1873" s="8"/>
    </row>
    <row r="1874" spans="73:82" ht="15.75">
      <c r="BU1874" s="8"/>
      <c r="BZ1874" s="8"/>
      <c r="CD1874" s="8"/>
    </row>
    <row r="1875" spans="73:82" ht="15.75">
      <c r="BU1875" s="8"/>
      <c r="BZ1875" s="8"/>
      <c r="CD1875" s="8"/>
    </row>
    <row r="1876" spans="73:82" ht="15.75">
      <c r="BU1876" s="8"/>
      <c r="BZ1876" s="8"/>
      <c r="CD1876" s="8"/>
    </row>
    <row r="1877" spans="73:82" ht="15.75">
      <c r="BU1877" s="8"/>
      <c r="BZ1877" s="8"/>
      <c r="CD1877" s="8"/>
    </row>
    <row r="1878" spans="73:82" ht="15.75">
      <c r="BU1878" s="8"/>
      <c r="BZ1878" s="8"/>
      <c r="CD1878" s="8"/>
    </row>
    <row r="1879" spans="73:82" ht="15.75">
      <c r="BU1879" s="8"/>
      <c r="BZ1879" s="8"/>
      <c r="CD1879" s="8"/>
    </row>
    <row r="1880" spans="73:82" ht="15.75">
      <c r="BU1880" s="8"/>
      <c r="BZ1880" s="8"/>
      <c r="CD1880" s="8"/>
    </row>
    <row r="1881" spans="73:82" ht="15.75">
      <c r="BU1881" s="8"/>
      <c r="BZ1881" s="8"/>
      <c r="CD1881" s="8"/>
    </row>
    <row r="1882" spans="73:82" ht="15.75">
      <c r="BU1882" s="8"/>
      <c r="BZ1882" s="8"/>
      <c r="CD1882" s="8"/>
    </row>
    <row r="1883" spans="73:82" ht="15.75">
      <c r="BU1883" s="8"/>
      <c r="BZ1883" s="8"/>
      <c r="CD1883" s="8"/>
    </row>
    <row r="1884" spans="73:82" ht="15.75">
      <c r="BU1884" s="8"/>
      <c r="BZ1884" s="8"/>
      <c r="CD1884" s="8"/>
    </row>
    <row r="1885" spans="73:82" ht="15.75">
      <c r="BU1885" s="8"/>
      <c r="BZ1885" s="8"/>
      <c r="CD1885" s="8"/>
    </row>
    <row r="1886" spans="73:82" ht="15.75">
      <c r="BU1886" s="8"/>
      <c r="BZ1886" s="8"/>
      <c r="CD1886" s="8"/>
    </row>
    <row r="1887" spans="73:82" ht="15.75">
      <c r="BU1887" s="8"/>
      <c r="BZ1887" s="8"/>
      <c r="CD1887" s="8"/>
    </row>
    <row r="1888" spans="73:82" ht="15.75">
      <c r="BU1888" s="8"/>
      <c r="BZ1888" s="8"/>
      <c r="CD1888" s="8"/>
    </row>
    <row r="1889" spans="73:82" ht="15.75">
      <c r="BU1889" s="8"/>
      <c r="BZ1889" s="8"/>
      <c r="CD1889" s="8"/>
    </row>
    <row r="1890" spans="73:82" ht="15.75">
      <c r="BU1890" s="8"/>
      <c r="BZ1890" s="8"/>
      <c r="CD1890" s="8"/>
    </row>
    <row r="1891" spans="73:82" ht="15.75">
      <c r="BU1891" s="8"/>
      <c r="BZ1891" s="8"/>
      <c r="CD1891" s="8"/>
    </row>
    <row r="1892" spans="73:82" ht="15.75">
      <c r="BU1892" s="8"/>
      <c r="BZ1892" s="8"/>
      <c r="CD1892" s="8"/>
    </row>
    <row r="1893" spans="73:82" ht="15.75">
      <c r="BU1893" s="8"/>
      <c r="BZ1893" s="8"/>
      <c r="CD1893" s="8"/>
    </row>
    <row r="1894" spans="73:82" ht="15.75">
      <c r="BU1894" s="8"/>
      <c r="BZ1894" s="8"/>
      <c r="CD1894" s="8"/>
    </row>
    <row r="1895" spans="73:82" ht="15.75">
      <c r="BU1895" s="8"/>
      <c r="BZ1895" s="8"/>
      <c r="CD1895" s="8"/>
    </row>
    <row r="1896" spans="73:82" ht="15.75">
      <c r="BU1896" s="8"/>
      <c r="BZ1896" s="8"/>
      <c r="CD1896" s="8"/>
    </row>
    <row r="1897" spans="73:82" ht="15.75">
      <c r="BU1897" s="8"/>
      <c r="BZ1897" s="8"/>
      <c r="CD1897" s="8"/>
    </row>
    <row r="1898" spans="73:82" ht="15.75">
      <c r="BU1898" s="8"/>
      <c r="BZ1898" s="8"/>
      <c r="CD1898" s="8"/>
    </row>
    <row r="1899" spans="73:82" ht="15.75">
      <c r="BU1899" s="8"/>
      <c r="BZ1899" s="8"/>
      <c r="CD1899" s="8"/>
    </row>
    <row r="1900" spans="73:82" ht="15.75">
      <c r="BU1900" s="8"/>
      <c r="BZ1900" s="8"/>
      <c r="CD1900" s="8"/>
    </row>
    <row r="1901" spans="73:82" ht="15.75">
      <c r="BU1901" s="8"/>
      <c r="BZ1901" s="8"/>
      <c r="CD1901" s="8"/>
    </row>
    <row r="1902" spans="73:82" ht="15.75">
      <c r="BU1902" s="8"/>
      <c r="BZ1902" s="8"/>
      <c r="CD1902" s="8"/>
    </row>
    <row r="1903" spans="73:82" ht="15.75">
      <c r="BU1903" s="8"/>
      <c r="BZ1903" s="8"/>
      <c r="CD1903" s="8"/>
    </row>
    <row r="1904" spans="73:82" ht="15.75">
      <c r="BU1904" s="8"/>
      <c r="BZ1904" s="8"/>
      <c r="CD1904" s="8"/>
    </row>
    <row r="1905" spans="73:82" ht="15.75">
      <c r="BU1905" s="8"/>
      <c r="BZ1905" s="8"/>
      <c r="CD1905" s="8"/>
    </row>
    <row r="1906" spans="73:82" ht="15.75">
      <c r="BU1906" s="8"/>
      <c r="BZ1906" s="8"/>
      <c r="CD1906" s="8"/>
    </row>
    <row r="1907" spans="73:82" ht="15.75">
      <c r="BU1907" s="8"/>
      <c r="BZ1907" s="8"/>
      <c r="CD1907" s="8"/>
    </row>
    <row r="1908" spans="73:82" ht="15.75">
      <c r="BU1908" s="8"/>
      <c r="BZ1908" s="8"/>
      <c r="CD1908" s="8"/>
    </row>
    <row r="1909" spans="73:82" ht="15.75">
      <c r="BU1909" s="8"/>
      <c r="BZ1909" s="8"/>
      <c r="CD1909" s="8"/>
    </row>
    <row r="1910" spans="73:82" ht="15.75">
      <c r="BU1910" s="8"/>
      <c r="BZ1910" s="8"/>
      <c r="CD1910" s="8"/>
    </row>
    <row r="1911" spans="73:82" ht="15.75">
      <c r="BU1911" s="8"/>
      <c r="BZ1911" s="8"/>
      <c r="CD1911" s="8"/>
    </row>
    <row r="1912" spans="73:82" ht="15.75">
      <c r="BU1912" s="8"/>
      <c r="BZ1912" s="8"/>
      <c r="CD1912" s="8"/>
    </row>
    <row r="1913" spans="73:82" ht="15.75">
      <c r="BU1913" s="8"/>
      <c r="BZ1913" s="8"/>
      <c r="CD1913" s="8"/>
    </row>
    <row r="1914" spans="73:82" ht="15.75">
      <c r="BU1914" s="8"/>
      <c r="BZ1914" s="8"/>
      <c r="CD1914" s="8"/>
    </row>
    <row r="1915" spans="73:82" ht="15.75">
      <c r="BU1915" s="8"/>
      <c r="BZ1915" s="8"/>
      <c r="CD1915" s="8"/>
    </row>
    <row r="1916" spans="73:82" ht="15.75">
      <c r="BU1916" s="8"/>
      <c r="BZ1916" s="8"/>
      <c r="CD1916" s="8"/>
    </row>
    <row r="1917" spans="73:82" ht="15.75">
      <c r="BU1917" s="8"/>
      <c r="BZ1917" s="8"/>
      <c r="CD1917" s="8"/>
    </row>
    <row r="1918" spans="73:82" ht="15.75">
      <c r="BU1918" s="8"/>
      <c r="BZ1918" s="8"/>
      <c r="CD1918" s="8"/>
    </row>
    <row r="1919" spans="73:82" ht="15.75">
      <c r="BU1919" s="8"/>
      <c r="BZ1919" s="8"/>
      <c r="CD1919" s="8"/>
    </row>
    <row r="1920" spans="73:82" ht="15.75">
      <c r="BU1920" s="8"/>
      <c r="BZ1920" s="8"/>
      <c r="CD1920" s="8"/>
    </row>
    <row r="1921" spans="73:82" ht="15.75">
      <c r="BU1921" s="8"/>
      <c r="BZ1921" s="8"/>
      <c r="CD1921" s="8"/>
    </row>
    <row r="1922" spans="73:82" ht="15.75">
      <c r="BU1922" s="8"/>
      <c r="BZ1922" s="8"/>
      <c r="CD1922" s="8"/>
    </row>
    <row r="1923" spans="73:82" ht="15.75">
      <c r="BU1923" s="8"/>
      <c r="BZ1923" s="8"/>
      <c r="CD1923" s="8"/>
    </row>
    <row r="1924" spans="73:82" ht="15.75">
      <c r="BU1924" s="8"/>
      <c r="BZ1924" s="8"/>
      <c r="CD1924" s="8"/>
    </row>
    <row r="1925" spans="73:82" ht="15.75">
      <c r="BU1925" s="8"/>
      <c r="BZ1925" s="8"/>
      <c r="CD1925" s="8"/>
    </row>
    <row r="1926" spans="73:82" ht="15.75">
      <c r="BU1926" s="8"/>
      <c r="BZ1926" s="8"/>
      <c r="CD1926" s="8"/>
    </row>
    <row r="1927" spans="73:82" ht="15.75">
      <c r="BU1927" s="8"/>
      <c r="BZ1927" s="8"/>
      <c r="CD1927" s="8"/>
    </row>
    <row r="1928" spans="73:82" ht="15.75">
      <c r="BU1928" s="8"/>
      <c r="BZ1928" s="8"/>
      <c r="CD1928" s="8"/>
    </row>
    <row r="1929" spans="73:82" ht="15.75">
      <c r="BU1929" s="8"/>
      <c r="BZ1929" s="8"/>
      <c r="CD1929" s="8"/>
    </row>
    <row r="1930" spans="73:82" ht="15.75">
      <c r="BU1930" s="8"/>
      <c r="BZ1930" s="8"/>
      <c r="CD1930" s="8"/>
    </row>
    <row r="1931" spans="73:82" ht="15.75">
      <c r="BU1931" s="8"/>
      <c r="BZ1931" s="8"/>
      <c r="CD1931" s="8"/>
    </row>
    <row r="1932" spans="73:82" ht="15.75">
      <c r="BU1932" s="8"/>
      <c r="BZ1932" s="8"/>
      <c r="CD1932" s="8"/>
    </row>
    <row r="1933" spans="73:82" ht="15.75">
      <c r="BU1933" s="8"/>
      <c r="BZ1933" s="8"/>
      <c r="CD1933" s="8"/>
    </row>
    <row r="1934" spans="73:82" ht="15.75">
      <c r="BU1934" s="8"/>
      <c r="BZ1934" s="8"/>
      <c r="CD1934" s="8"/>
    </row>
    <row r="1935" spans="73:82" ht="15.75">
      <c r="BU1935" s="8"/>
      <c r="BZ1935" s="8"/>
      <c r="CD1935" s="8"/>
    </row>
    <row r="1936" spans="73:82" ht="15.75">
      <c r="BU1936" s="8"/>
      <c r="BZ1936" s="8"/>
      <c r="CD1936" s="8"/>
    </row>
    <row r="1937" spans="73:82" ht="15.75">
      <c r="BU1937" s="8"/>
      <c r="BZ1937" s="8"/>
      <c r="CD1937" s="8"/>
    </row>
    <row r="1938" spans="73:82" ht="15.75">
      <c r="BU1938" s="8"/>
      <c r="BZ1938" s="8"/>
      <c r="CD1938" s="8"/>
    </row>
    <row r="1939" spans="73:82" ht="15.75">
      <c r="BU1939" s="8"/>
      <c r="BZ1939" s="8"/>
      <c r="CD1939" s="8"/>
    </row>
    <row r="1940" spans="73:82" ht="15.75">
      <c r="BU1940" s="8"/>
      <c r="BZ1940" s="8"/>
      <c r="CD1940" s="8"/>
    </row>
    <row r="1941" spans="73:82" ht="15.75">
      <c r="BU1941" s="8"/>
      <c r="BZ1941" s="8"/>
      <c r="CD1941" s="8"/>
    </row>
    <row r="1942" spans="73:82" ht="15.75">
      <c r="BU1942" s="8"/>
      <c r="BZ1942" s="8"/>
      <c r="CD1942" s="8"/>
    </row>
    <row r="1943" spans="73:82" ht="15.75">
      <c r="BU1943" s="8"/>
      <c r="BZ1943" s="8"/>
      <c r="CD1943" s="8"/>
    </row>
    <row r="1944" spans="73:82" ht="15.75">
      <c r="BU1944" s="8"/>
      <c r="BZ1944" s="8"/>
      <c r="CD1944" s="8"/>
    </row>
    <row r="1945" spans="73:82" ht="15.75">
      <c r="BU1945" s="8"/>
      <c r="BZ1945" s="8"/>
      <c r="CD1945" s="8"/>
    </row>
    <row r="1946" spans="73:82" ht="15.75">
      <c r="BU1946" s="8"/>
      <c r="BZ1946" s="8"/>
      <c r="CD1946" s="8"/>
    </row>
    <row r="1947" spans="73:82" ht="15.75">
      <c r="BU1947" s="8"/>
      <c r="BZ1947" s="8"/>
      <c r="CD1947" s="8"/>
    </row>
    <row r="1948" spans="73:82" ht="15.75">
      <c r="BU1948" s="8"/>
      <c r="BZ1948" s="8"/>
      <c r="CD1948" s="8"/>
    </row>
    <row r="1949" spans="73:82" ht="15.75">
      <c r="BU1949" s="8"/>
      <c r="BZ1949" s="8"/>
      <c r="CD1949" s="8"/>
    </row>
    <row r="1950" spans="73:82" ht="15.75">
      <c r="BU1950" s="8"/>
      <c r="BZ1950" s="8"/>
      <c r="CD1950" s="8"/>
    </row>
    <row r="1951" spans="73:82" ht="15.75">
      <c r="BU1951" s="8"/>
      <c r="BZ1951" s="8"/>
      <c r="CD1951" s="8"/>
    </row>
    <row r="1952" spans="73:82" ht="15.75">
      <c r="BU1952" s="8"/>
      <c r="BZ1952" s="8"/>
      <c r="CD1952" s="8"/>
    </row>
    <row r="1953" spans="73:82" ht="15.75">
      <c r="BU1953" s="8"/>
      <c r="BZ1953" s="8"/>
      <c r="CD1953" s="8"/>
    </row>
    <row r="1954" spans="73:82" ht="15.75">
      <c r="BU1954" s="8"/>
      <c r="BZ1954" s="8"/>
      <c r="CD1954" s="8"/>
    </row>
    <row r="1955" spans="73:82" ht="15.75">
      <c r="BU1955" s="8"/>
      <c r="BZ1955" s="8"/>
      <c r="CD1955" s="8"/>
    </row>
    <row r="1956" spans="73:82" ht="15.75">
      <c r="BU1956" s="8"/>
      <c r="BZ1956" s="8"/>
      <c r="CD1956" s="8"/>
    </row>
    <row r="1957" spans="73:82" ht="15.75">
      <c r="BU1957" s="8"/>
      <c r="BZ1957" s="8"/>
      <c r="CD1957" s="8"/>
    </row>
    <row r="1958" spans="73:82" ht="15.75">
      <c r="BU1958" s="8"/>
      <c r="BZ1958" s="8"/>
      <c r="CD1958" s="8"/>
    </row>
    <row r="1959" spans="73:82" ht="15.75">
      <c r="BU1959" s="8"/>
      <c r="BZ1959" s="8"/>
      <c r="CD1959" s="8"/>
    </row>
    <row r="1960" spans="73:82" ht="15.75">
      <c r="BU1960" s="8"/>
      <c r="BZ1960" s="8"/>
      <c r="CD1960" s="8"/>
    </row>
    <row r="1961" spans="73:82" ht="15.75">
      <c r="BU1961" s="8"/>
      <c r="BZ1961" s="8"/>
      <c r="CD1961" s="8"/>
    </row>
    <row r="1962" spans="73:82" ht="15.75">
      <c r="BU1962" s="8"/>
      <c r="BZ1962" s="8"/>
      <c r="CD1962" s="8"/>
    </row>
    <row r="1963" spans="73:82" ht="15.75">
      <c r="BU1963" s="8"/>
      <c r="BZ1963" s="8"/>
      <c r="CD1963" s="8"/>
    </row>
    <row r="1964" spans="73:82" ht="15.75">
      <c r="BU1964" s="8"/>
      <c r="BZ1964" s="8"/>
      <c r="CD1964" s="8"/>
    </row>
    <row r="1965" spans="73:82" ht="15.75">
      <c r="BU1965" s="8"/>
      <c r="BZ1965" s="8"/>
      <c r="CD1965" s="8"/>
    </row>
    <row r="1966" spans="73:82" ht="15.75">
      <c r="BU1966" s="8"/>
      <c r="BZ1966" s="8"/>
      <c r="CD1966" s="8"/>
    </row>
    <row r="1967" spans="73:82" ht="15.75">
      <c r="BU1967" s="8"/>
      <c r="BZ1967" s="8"/>
      <c r="CD1967" s="8"/>
    </row>
    <row r="1968" spans="73:82" ht="15.75">
      <c r="BU1968" s="8"/>
      <c r="BZ1968" s="8"/>
      <c r="CD1968" s="8"/>
    </row>
    <row r="1969" spans="73:82" ht="15.75">
      <c r="BU1969" s="8"/>
      <c r="BZ1969" s="8"/>
      <c r="CD1969" s="8"/>
    </row>
    <row r="1970" spans="73:82" ht="15.75">
      <c r="BU1970" s="8"/>
      <c r="BZ1970" s="8"/>
      <c r="CD1970" s="8"/>
    </row>
    <row r="1971" spans="73:82" ht="15.75">
      <c r="BU1971" s="8"/>
      <c r="BZ1971" s="8"/>
      <c r="CD1971" s="8"/>
    </row>
    <row r="1972" spans="73:82" ht="15.75">
      <c r="BU1972" s="8"/>
      <c r="BZ1972" s="8"/>
      <c r="CD1972" s="8"/>
    </row>
    <row r="1973" spans="73:82" ht="15.75">
      <c r="BU1973" s="8"/>
      <c r="BZ1973" s="8"/>
      <c r="CD1973" s="8"/>
    </row>
    <row r="1974" spans="73:82" ht="15.75">
      <c r="BU1974" s="8"/>
      <c r="BZ1974" s="8"/>
      <c r="CD1974" s="8"/>
    </row>
    <row r="1975" spans="73:82" ht="15.75">
      <c r="BU1975" s="8"/>
      <c r="BZ1975" s="8"/>
      <c r="CD1975" s="8"/>
    </row>
    <row r="1976" spans="73:82" ht="15.75">
      <c r="BU1976" s="8"/>
      <c r="BZ1976" s="8"/>
      <c r="CD1976" s="8"/>
    </row>
    <row r="1977" spans="73:82" ht="15.75">
      <c r="BU1977" s="8"/>
      <c r="BZ1977" s="8"/>
      <c r="CD1977" s="8"/>
    </row>
    <row r="1978" spans="73:82" ht="15.75">
      <c r="BU1978" s="8"/>
      <c r="BZ1978" s="8"/>
      <c r="CD1978" s="8"/>
    </row>
    <row r="1979" spans="73:82" ht="15.75">
      <c r="BU1979" s="8"/>
      <c r="BZ1979" s="8"/>
      <c r="CD1979" s="8"/>
    </row>
    <row r="1980" spans="73:82" ht="15.75">
      <c r="BU1980" s="8"/>
      <c r="BZ1980" s="8"/>
      <c r="CD1980" s="8"/>
    </row>
    <row r="1981" spans="73:82" ht="15.75">
      <c r="BU1981" s="8"/>
      <c r="BZ1981" s="8"/>
      <c r="CD1981" s="8"/>
    </row>
    <row r="1982" spans="73:82" ht="15.75">
      <c r="BU1982" s="8"/>
      <c r="BZ1982" s="8"/>
      <c r="CD1982" s="8"/>
    </row>
    <row r="1983" spans="73:82" ht="15.75">
      <c r="BU1983" s="8"/>
      <c r="BZ1983" s="8"/>
      <c r="CD1983" s="8"/>
    </row>
    <row r="1984" spans="73:82" ht="15.75">
      <c r="BU1984" s="8"/>
      <c r="BZ1984" s="8"/>
      <c r="CD1984" s="8"/>
    </row>
    <row r="1985" spans="73:82" ht="15.75">
      <c r="BU1985" s="8"/>
      <c r="BZ1985" s="8"/>
      <c r="CD1985" s="8"/>
    </row>
    <row r="1986" spans="73:82" ht="15.75">
      <c r="BU1986" s="8"/>
      <c r="BZ1986" s="8"/>
      <c r="CD1986" s="8"/>
    </row>
    <row r="1987" spans="73:82" ht="15.75">
      <c r="BU1987" s="8"/>
      <c r="BZ1987" s="8"/>
      <c r="CD1987" s="8"/>
    </row>
    <row r="1988" spans="73:82" ht="15.75">
      <c r="BU1988" s="8"/>
      <c r="BZ1988" s="8"/>
      <c r="CD1988" s="8"/>
    </row>
    <row r="1989" spans="73:82" ht="15.75">
      <c r="BU1989" s="8"/>
      <c r="BZ1989" s="8"/>
      <c r="CD1989" s="8"/>
    </row>
    <row r="1990" spans="73:82" ht="15.75">
      <c r="BU1990" s="8"/>
      <c r="BZ1990" s="8"/>
      <c r="CD1990" s="8"/>
    </row>
    <row r="1991" spans="73:82" ht="15.75">
      <c r="BU1991" s="8"/>
      <c r="BZ1991" s="8"/>
      <c r="CD1991" s="8"/>
    </row>
    <row r="1992" spans="73:82" ht="15.75">
      <c r="BU1992" s="8"/>
      <c r="BZ1992" s="8"/>
      <c r="CD1992" s="8"/>
    </row>
    <row r="1993" spans="73:82" ht="15.75">
      <c r="BU1993" s="8"/>
      <c r="BZ1993" s="8"/>
      <c r="CD1993" s="8"/>
    </row>
    <row r="1994" spans="73:82" ht="15.75">
      <c r="BU1994" s="8"/>
      <c r="BZ1994" s="8"/>
      <c r="CD1994" s="8"/>
    </row>
    <row r="1995" spans="73:82" ht="15.75">
      <c r="BU1995" s="8"/>
      <c r="BZ1995" s="8"/>
      <c r="CD1995" s="8"/>
    </row>
    <row r="1996" spans="73:82" ht="15.75">
      <c r="BU1996" s="8"/>
      <c r="BZ1996" s="8"/>
      <c r="CD1996" s="8"/>
    </row>
    <row r="1997" spans="73:82" ht="15.75">
      <c r="BU1997" s="8"/>
      <c r="BZ1997" s="8"/>
      <c r="CD1997" s="8"/>
    </row>
    <row r="1998" spans="73:82" ht="15.75">
      <c r="BU1998" s="8"/>
      <c r="BZ1998" s="8"/>
      <c r="CD1998" s="8"/>
    </row>
    <row r="1999" spans="73:82" ht="15.75">
      <c r="BU1999" s="8"/>
      <c r="BZ1999" s="8"/>
      <c r="CD1999" s="8"/>
    </row>
    <row r="2000" spans="73:82" ht="15.75">
      <c r="BU2000" s="8"/>
      <c r="BZ2000" s="8"/>
      <c r="CD2000" s="8"/>
    </row>
    <row r="2001" spans="73:82" ht="15.75">
      <c r="BU2001" s="8"/>
      <c r="BZ2001" s="8"/>
      <c r="CD2001" s="8"/>
    </row>
    <row r="2002" spans="73:82" ht="15.75">
      <c r="BU2002" s="8"/>
      <c r="BZ2002" s="8"/>
      <c r="CD2002" s="8"/>
    </row>
    <row r="2003" spans="73:82" ht="15.75">
      <c r="BU2003" s="8"/>
      <c r="BZ2003" s="8"/>
      <c r="CD2003" s="8"/>
    </row>
    <row r="2004" spans="73:82" ht="15.75">
      <c r="BU2004" s="8"/>
      <c r="BZ2004" s="8"/>
      <c r="CD2004" s="8"/>
    </row>
    <row r="2005" spans="73:82" ht="15.75">
      <c r="BU2005" s="8"/>
      <c r="BZ2005" s="8"/>
      <c r="CD2005" s="8"/>
    </row>
    <row r="2006" spans="73:82" ht="15.75">
      <c r="BU2006" s="8"/>
      <c r="BZ2006" s="8"/>
      <c r="CD2006" s="8"/>
    </row>
    <row r="2007" spans="73:82" ht="15.75">
      <c r="BU2007" s="8"/>
      <c r="BZ2007" s="8"/>
      <c r="CD2007" s="8"/>
    </row>
    <row r="2008" spans="73:82" ht="15.75">
      <c r="BU2008" s="8"/>
      <c r="BZ2008" s="8"/>
      <c r="CD2008" s="8"/>
    </row>
    <row r="2009" spans="73:82" ht="15.75">
      <c r="BU2009" s="8"/>
      <c r="BZ2009" s="8"/>
      <c r="CD2009" s="8"/>
    </row>
    <row r="2010" spans="73:82" ht="15.75">
      <c r="BU2010" s="8"/>
      <c r="BZ2010" s="8"/>
      <c r="CD2010" s="8"/>
    </row>
    <row r="2011" spans="73:82" ht="15.75">
      <c r="BU2011" s="8"/>
      <c r="BZ2011" s="8"/>
      <c r="CD2011" s="8"/>
    </row>
    <row r="2012" spans="73:82" ht="15.75">
      <c r="BU2012" s="8"/>
      <c r="BZ2012" s="8"/>
      <c r="CD2012" s="8"/>
    </row>
    <row r="2013" spans="73:82" ht="15.75">
      <c r="BU2013" s="8"/>
      <c r="BZ2013" s="8"/>
      <c r="CD2013" s="8"/>
    </row>
    <row r="2014" spans="73:82" ht="15.75">
      <c r="BU2014" s="8"/>
      <c r="BZ2014" s="8"/>
      <c r="CD2014" s="8"/>
    </row>
    <row r="2015" spans="73:82" ht="15.75">
      <c r="BU2015" s="8"/>
      <c r="BZ2015" s="8"/>
      <c r="CD2015" s="8"/>
    </row>
    <row r="2016" spans="73:82" ht="15.75">
      <c r="BU2016" s="8"/>
      <c r="BZ2016" s="8"/>
      <c r="CD2016" s="8"/>
    </row>
    <row r="2017" spans="73:82" ht="15.75">
      <c r="BU2017" s="8"/>
      <c r="BZ2017" s="8"/>
      <c r="CD2017" s="8"/>
    </row>
    <row r="2018" spans="73:82" ht="15.75">
      <c r="BU2018" s="8"/>
      <c r="BZ2018" s="8"/>
      <c r="CD2018" s="8"/>
    </row>
    <row r="2019" spans="73:82" ht="15.75">
      <c r="BU2019" s="8"/>
      <c r="BZ2019" s="8"/>
      <c r="CD2019" s="8"/>
    </row>
    <row r="2020" spans="73:82" ht="15.75">
      <c r="BU2020" s="8"/>
      <c r="BZ2020" s="8"/>
      <c r="CD2020" s="8"/>
    </row>
    <row r="2021" spans="73:82" ht="15.75">
      <c r="BU2021" s="8"/>
      <c r="BZ2021" s="8"/>
      <c r="CD2021" s="8"/>
    </row>
    <row r="2022" spans="73:82" ht="15.75">
      <c r="BU2022" s="8"/>
      <c r="BZ2022" s="8"/>
      <c r="CD2022" s="8"/>
    </row>
    <row r="2023" spans="73:82" ht="15.75">
      <c r="BU2023" s="8"/>
      <c r="BZ2023" s="8"/>
      <c r="CD2023" s="8"/>
    </row>
    <row r="2024" spans="73:82" ht="15.75">
      <c r="BU2024" s="8"/>
      <c r="BZ2024" s="8"/>
      <c r="CD2024" s="8"/>
    </row>
    <row r="2025" spans="73:82" ht="15.75">
      <c r="BU2025" s="8"/>
      <c r="BZ2025" s="8"/>
      <c r="CD2025" s="8"/>
    </row>
    <row r="2026" spans="73:82" ht="15.75">
      <c r="BU2026" s="8"/>
      <c r="BZ2026" s="8"/>
      <c r="CD2026" s="8"/>
    </row>
    <row r="2027" spans="73:82" ht="15.75">
      <c r="BU2027" s="8"/>
      <c r="BZ2027" s="8"/>
      <c r="CD2027" s="8"/>
    </row>
    <row r="2028" spans="73:82" ht="15.75">
      <c r="BU2028" s="8"/>
      <c r="BZ2028" s="8"/>
      <c r="CD2028" s="8"/>
    </row>
    <row r="2029" spans="73:82" ht="15.75">
      <c r="BU2029" s="8"/>
      <c r="BZ2029" s="8"/>
      <c r="CD2029" s="8"/>
    </row>
    <row r="2030" spans="73:82" ht="15.75">
      <c r="BU2030" s="8"/>
      <c r="BZ2030" s="8"/>
      <c r="CD2030" s="8"/>
    </row>
    <row r="2031" spans="73:82" ht="15.75">
      <c r="BU2031" s="8"/>
      <c r="BZ2031" s="8"/>
      <c r="CD2031" s="8"/>
    </row>
    <row r="2032" spans="73:82" ht="15.75">
      <c r="BU2032" s="8"/>
      <c r="BZ2032" s="8"/>
      <c r="CD2032" s="8"/>
    </row>
    <row r="2033" spans="73:82" ht="15.75">
      <c r="BU2033" s="8"/>
      <c r="BZ2033" s="8"/>
      <c r="CD2033" s="8"/>
    </row>
    <row r="2034" spans="73:82" ht="15.75">
      <c r="BU2034" s="8"/>
      <c r="BZ2034" s="8"/>
      <c r="CD2034" s="8"/>
    </row>
    <row r="2035" spans="73:82" ht="15.75">
      <c r="BU2035" s="8"/>
      <c r="BZ2035" s="8"/>
      <c r="CD2035" s="8"/>
    </row>
    <row r="2036" spans="73:82" ht="15.75">
      <c r="BU2036" s="8"/>
      <c r="BZ2036" s="8"/>
      <c r="CD2036" s="8"/>
    </row>
    <row r="2037" spans="73:82" ht="15.75">
      <c r="BU2037" s="8"/>
      <c r="BZ2037" s="8"/>
      <c r="CD2037" s="8"/>
    </row>
    <row r="2038" spans="73:82" ht="15.75">
      <c r="BU2038" s="8"/>
      <c r="BZ2038" s="8"/>
      <c r="CD2038" s="8"/>
    </row>
    <row r="2039" spans="73:82" ht="15.75">
      <c r="BU2039" s="8"/>
      <c r="BZ2039" s="8"/>
      <c r="CD2039" s="8"/>
    </row>
    <row r="2040" spans="73:82" ht="15.75">
      <c r="BU2040" s="8"/>
      <c r="BZ2040" s="8"/>
      <c r="CD2040" s="8"/>
    </row>
    <row r="2041" spans="73:82" ht="15.75">
      <c r="BU2041" s="8"/>
      <c r="BZ2041" s="8"/>
      <c r="CD2041" s="8"/>
    </row>
    <row r="2042" spans="73:82" ht="15.75">
      <c r="BU2042" s="8"/>
      <c r="BZ2042" s="8"/>
      <c r="CD2042" s="8"/>
    </row>
    <row r="2043" spans="73:82" ht="15.75">
      <c r="BU2043" s="8"/>
      <c r="BZ2043" s="8"/>
      <c r="CD2043" s="8"/>
    </row>
    <row r="2044" spans="73:82" ht="15.75">
      <c r="BU2044" s="8"/>
      <c r="BZ2044" s="8"/>
      <c r="CD2044" s="8"/>
    </row>
    <row r="2045" spans="73:82" ht="15.75">
      <c r="BU2045" s="8"/>
      <c r="BZ2045" s="8"/>
      <c r="CD2045" s="8"/>
    </row>
    <row r="2046" spans="73:82" ht="15.75">
      <c r="BU2046" s="8"/>
      <c r="BZ2046" s="8"/>
      <c r="CD2046" s="8"/>
    </row>
    <row r="2047" spans="73:82" ht="15.75">
      <c r="BU2047" s="8"/>
      <c r="BZ2047" s="8"/>
      <c r="CD2047" s="8"/>
    </row>
    <row r="2048" spans="73:82" ht="15.75">
      <c r="BU2048" s="8"/>
      <c r="BZ2048" s="8"/>
      <c r="CD2048" s="8"/>
    </row>
    <row r="2049" spans="73:82" ht="15.75">
      <c r="BU2049" s="8"/>
      <c r="BZ2049" s="8"/>
      <c r="CD2049" s="8"/>
    </row>
    <row r="2050" spans="73:82" ht="15.75">
      <c r="BU2050" s="8"/>
      <c r="BZ2050" s="8"/>
      <c r="CD2050" s="8"/>
    </row>
    <row r="2051" spans="73:82" ht="15.75">
      <c r="BU2051" s="8"/>
      <c r="BZ2051" s="8"/>
      <c r="CD2051" s="8"/>
    </row>
    <row r="2052" spans="73:82" ht="15.75">
      <c r="BU2052" s="8"/>
      <c r="BZ2052" s="8"/>
      <c r="CD2052" s="8"/>
    </row>
    <row r="2053" spans="73:82" ht="15.75">
      <c r="BU2053" s="8"/>
      <c r="BZ2053" s="8"/>
      <c r="CD2053" s="8"/>
    </row>
    <row r="2054" spans="73:82" ht="15.75">
      <c r="BU2054" s="8"/>
      <c r="BZ2054" s="8"/>
      <c r="CD2054" s="8"/>
    </row>
    <row r="2055" spans="73:82" ht="15.75">
      <c r="BU2055" s="8"/>
      <c r="BZ2055" s="8"/>
      <c r="CD2055" s="8"/>
    </row>
    <row r="2056" spans="73:82" ht="15.75">
      <c r="BU2056" s="8"/>
      <c r="BZ2056" s="8"/>
      <c r="CD2056" s="8"/>
    </row>
    <row r="2057" spans="73:82" ht="15.75">
      <c r="BU2057" s="8"/>
      <c r="BZ2057" s="8"/>
      <c r="CD2057" s="8"/>
    </row>
    <row r="2058" spans="73:82" ht="15.75">
      <c r="BU2058" s="8"/>
      <c r="BZ2058" s="8"/>
      <c r="CD2058" s="8"/>
    </row>
    <row r="2059" spans="73:82" ht="15.75">
      <c r="BU2059" s="8"/>
      <c r="BZ2059" s="8"/>
      <c r="CD2059" s="8"/>
    </row>
    <row r="2060" spans="73:82" ht="15.75">
      <c r="BU2060" s="8"/>
      <c r="BZ2060" s="8"/>
      <c r="CD2060" s="8"/>
    </row>
    <row r="2061" spans="73:82" ht="15.75">
      <c r="BU2061" s="8"/>
      <c r="BZ2061" s="8"/>
      <c r="CD2061" s="8"/>
    </row>
    <row r="2062" spans="73:82" ht="15.75">
      <c r="BU2062" s="8"/>
      <c r="BZ2062" s="8"/>
      <c r="CD2062" s="8"/>
    </row>
    <row r="2063" spans="73:82" ht="15.75">
      <c r="BU2063" s="8"/>
      <c r="BZ2063" s="8"/>
      <c r="CD2063" s="8"/>
    </row>
    <row r="2064" spans="73:82" ht="15.75">
      <c r="BU2064" s="8"/>
      <c r="BZ2064" s="8"/>
      <c r="CD2064" s="8"/>
    </row>
    <row r="2065" spans="73:82" ht="15.75">
      <c r="BU2065" s="8"/>
      <c r="BZ2065" s="8"/>
      <c r="CD2065" s="8"/>
    </row>
    <row r="2066" spans="73:82" ht="15.75">
      <c r="BU2066" s="8"/>
      <c r="BZ2066" s="8"/>
      <c r="CD2066" s="8"/>
    </row>
    <row r="2067" spans="73:82" ht="15.75">
      <c r="BU2067" s="8"/>
      <c r="BZ2067" s="8"/>
      <c r="CD2067" s="8"/>
    </row>
    <row r="2068" spans="73:82" ht="15.75">
      <c r="BU2068" s="8"/>
      <c r="BZ2068" s="8"/>
      <c r="CD2068" s="8"/>
    </row>
    <row r="2069" spans="73:82" ht="15.75">
      <c r="BU2069" s="8"/>
      <c r="BZ2069" s="8"/>
      <c r="CD2069" s="8"/>
    </row>
    <row r="2070" spans="73:82" ht="15.75">
      <c r="BU2070" s="8"/>
      <c r="BZ2070" s="8"/>
      <c r="CD2070" s="8"/>
    </row>
    <row r="2071" spans="73:82" ht="15.75">
      <c r="BU2071" s="8"/>
      <c r="BZ2071" s="8"/>
      <c r="CD2071" s="8"/>
    </row>
    <row r="2072" spans="73:82" ht="15.75">
      <c r="BU2072" s="8"/>
      <c r="BZ2072" s="8"/>
      <c r="CD2072" s="8"/>
    </row>
    <row r="2073" spans="73:82" ht="15.75">
      <c r="BU2073" s="8"/>
      <c r="BZ2073" s="8"/>
      <c r="CD2073" s="8"/>
    </row>
    <row r="2074" spans="73:82" ht="15.75">
      <c r="BU2074" s="8"/>
      <c r="BZ2074" s="8"/>
      <c r="CD2074" s="8"/>
    </row>
    <row r="2075" spans="73:82" ht="15.75">
      <c r="BU2075" s="8"/>
      <c r="BZ2075" s="8"/>
      <c r="CD2075" s="8"/>
    </row>
    <row r="2076" spans="73:82" ht="15.75">
      <c r="BU2076" s="8"/>
      <c r="BZ2076" s="8"/>
      <c r="CD2076" s="8"/>
    </row>
    <row r="2077" spans="73:82" ht="15.75">
      <c r="BU2077" s="8"/>
      <c r="BZ2077" s="8"/>
      <c r="CD2077" s="8"/>
    </row>
    <row r="2078" spans="73:82" ht="15.75">
      <c r="BU2078" s="8"/>
      <c r="BZ2078" s="8"/>
      <c r="CD2078" s="8"/>
    </row>
    <row r="2079" spans="73:82" ht="15.75">
      <c r="BU2079" s="8"/>
      <c r="BZ2079" s="8"/>
      <c r="CD2079" s="8"/>
    </row>
    <row r="2080" spans="73:82" ht="15.75">
      <c r="BU2080" s="8"/>
      <c r="BZ2080" s="8"/>
      <c r="CD2080" s="8"/>
    </row>
    <row r="2081" spans="73:82" ht="15.75">
      <c r="BU2081" s="8"/>
      <c r="BZ2081" s="8"/>
      <c r="CD2081" s="8"/>
    </row>
    <row r="2082" spans="73:82" ht="15.75">
      <c r="BU2082" s="8"/>
      <c r="BZ2082" s="8"/>
      <c r="CD2082" s="8"/>
    </row>
    <row r="2083" spans="73:82" ht="15.75">
      <c r="BU2083" s="8"/>
      <c r="BZ2083" s="8"/>
      <c r="CD2083" s="8"/>
    </row>
    <row r="2084" spans="73:82" ht="15.75">
      <c r="BU2084" s="8"/>
      <c r="BZ2084" s="8"/>
      <c r="CD2084" s="8"/>
    </row>
    <row r="2085" spans="73:82" ht="15.75">
      <c r="BU2085" s="8"/>
      <c r="BZ2085" s="8"/>
      <c r="CD2085" s="8"/>
    </row>
    <row r="2086" spans="73:82" ht="15.75">
      <c r="BU2086" s="8"/>
      <c r="BZ2086" s="8"/>
      <c r="CD2086" s="8"/>
    </row>
    <row r="2087" spans="73:82" ht="15.75">
      <c r="BU2087" s="8"/>
      <c r="BZ2087" s="8"/>
      <c r="CD2087" s="8"/>
    </row>
    <row r="2088" spans="73:82" ht="15.75">
      <c r="BU2088" s="8"/>
      <c r="BZ2088" s="8"/>
      <c r="CD2088" s="8"/>
    </row>
    <row r="2089" spans="73:82" ht="15.75">
      <c r="BU2089" s="8"/>
      <c r="BZ2089" s="8"/>
      <c r="CD2089" s="8"/>
    </row>
    <row r="2090" spans="73:82" ht="15.75">
      <c r="BU2090" s="8"/>
      <c r="BZ2090" s="8"/>
      <c r="CD2090" s="8"/>
    </row>
    <row r="2091" spans="73:82" ht="15.75">
      <c r="BU2091" s="8"/>
      <c r="BZ2091" s="8"/>
      <c r="CD2091" s="8"/>
    </row>
    <row r="2092" spans="73:82" ht="15.75">
      <c r="BU2092" s="8"/>
      <c r="BZ2092" s="8"/>
      <c r="CD2092" s="8"/>
    </row>
    <row r="2093" spans="73:82" ht="15.75">
      <c r="BU2093" s="8"/>
      <c r="BZ2093" s="8"/>
      <c r="CD2093" s="8"/>
    </row>
    <row r="2094" spans="73:82" ht="15.75">
      <c r="BU2094" s="8"/>
      <c r="BZ2094" s="8"/>
      <c r="CD2094" s="8"/>
    </row>
    <row r="2095" spans="73:82" ht="15.75">
      <c r="BU2095" s="8"/>
      <c r="BZ2095" s="8"/>
      <c r="CD2095" s="8"/>
    </row>
    <row r="2096" spans="73:82" ht="15.75">
      <c r="BU2096" s="8"/>
      <c r="BZ2096" s="8"/>
      <c r="CD2096" s="8"/>
    </row>
    <row r="2097" spans="73:82" ht="15.75">
      <c r="BU2097" s="8"/>
      <c r="BZ2097" s="8"/>
      <c r="CD2097" s="8"/>
    </row>
    <row r="2098" spans="73:82" ht="15.75">
      <c r="BU2098" s="8"/>
      <c r="BZ2098" s="8"/>
      <c r="CD2098" s="8"/>
    </row>
    <row r="2099" spans="73:82" ht="15.75">
      <c r="BU2099" s="8"/>
      <c r="BZ2099" s="8"/>
      <c r="CD2099" s="8"/>
    </row>
    <row r="2100" spans="73:82" ht="15.75">
      <c r="BU2100" s="8"/>
      <c r="BZ2100" s="8"/>
      <c r="CD2100" s="8"/>
    </row>
    <row r="2101" spans="73:82" ht="15.75">
      <c r="BU2101" s="8"/>
      <c r="BZ2101" s="8"/>
      <c r="CD2101" s="8"/>
    </row>
    <row r="2102" spans="73:82" ht="15.75">
      <c r="BU2102" s="8"/>
      <c r="BZ2102" s="8"/>
      <c r="CD2102" s="8"/>
    </row>
    <row r="2103" spans="73:82" ht="15.75">
      <c r="BU2103" s="8"/>
      <c r="BZ2103" s="8"/>
      <c r="CD2103" s="8"/>
    </row>
    <row r="2104" spans="73:82" ht="15.75">
      <c r="BU2104" s="8"/>
      <c r="BZ2104" s="8"/>
      <c r="CD2104" s="8"/>
    </row>
    <row r="2105" spans="73:82" ht="15.75">
      <c r="BU2105" s="8"/>
      <c r="BZ2105" s="8"/>
      <c r="CD2105" s="8"/>
    </row>
    <row r="2106" spans="73:82" ht="15.75">
      <c r="BU2106" s="8"/>
      <c r="BZ2106" s="8"/>
      <c r="CD2106" s="8"/>
    </row>
    <row r="2107" spans="73:82" ht="15.75">
      <c r="BU2107" s="8"/>
      <c r="BZ2107" s="8"/>
      <c r="CD2107" s="8"/>
    </row>
    <row r="2108" spans="73:82" ht="15.75">
      <c r="BU2108" s="8"/>
      <c r="BZ2108" s="8"/>
      <c r="CD2108" s="8"/>
    </row>
    <row r="2109" spans="73:82" ht="15.75">
      <c r="BU2109" s="8"/>
      <c r="BZ2109" s="8"/>
      <c r="CD2109" s="8"/>
    </row>
    <row r="2110" spans="73:82" ht="15.75">
      <c r="BU2110" s="8"/>
      <c r="BZ2110" s="8"/>
      <c r="CD2110" s="8"/>
    </row>
    <row r="2111" spans="73:82" ht="15.75">
      <c r="BU2111" s="8"/>
      <c r="BZ2111" s="8"/>
      <c r="CD2111" s="8"/>
    </row>
    <row r="2112" spans="73:82" ht="15.75">
      <c r="BU2112" s="8"/>
      <c r="BZ2112" s="8"/>
      <c r="CD2112" s="8"/>
    </row>
    <row r="2113" spans="73:82" ht="15.75">
      <c r="BU2113" s="8"/>
      <c r="BZ2113" s="8"/>
      <c r="CD2113" s="8"/>
    </row>
    <row r="2114" spans="73:82" ht="15.75">
      <c r="BU2114" s="8"/>
      <c r="BZ2114" s="8"/>
      <c r="CD2114" s="8"/>
    </row>
    <row r="2115" spans="73:82" ht="15.75">
      <c r="BU2115" s="8"/>
      <c r="BZ2115" s="8"/>
      <c r="CD2115" s="8"/>
    </row>
    <row r="2116" spans="73:82" ht="15.75">
      <c r="BU2116" s="8"/>
      <c r="BZ2116" s="8"/>
      <c r="CD2116" s="8"/>
    </row>
    <row r="2117" spans="73:82" ht="15.75">
      <c r="BU2117" s="8"/>
      <c r="BZ2117" s="8"/>
      <c r="CD2117" s="8"/>
    </row>
    <row r="2118" spans="73:82" ht="15.75">
      <c r="BU2118" s="8"/>
      <c r="BZ2118" s="8"/>
      <c r="CD2118" s="8"/>
    </row>
    <row r="2119" spans="73:82" ht="15.75">
      <c r="BU2119" s="8"/>
      <c r="BZ2119" s="8"/>
      <c r="CD2119" s="8"/>
    </row>
    <row r="2120" spans="73:82" ht="15.75">
      <c r="BU2120" s="8"/>
      <c r="BZ2120" s="8"/>
      <c r="CD2120" s="8"/>
    </row>
    <row r="2121" spans="73:82" ht="15.75">
      <c r="BU2121" s="8"/>
      <c r="BZ2121" s="8"/>
      <c r="CD2121" s="8"/>
    </row>
    <row r="2122" spans="73:82" ht="15.75">
      <c r="BU2122" s="8"/>
      <c r="BZ2122" s="8"/>
      <c r="CD2122" s="8"/>
    </row>
    <row r="2123" spans="73:82" ht="15.75">
      <c r="BU2123" s="8"/>
      <c r="BZ2123" s="8"/>
      <c r="CD2123" s="8"/>
    </row>
    <row r="2124" spans="73:82" ht="15.75">
      <c r="BU2124" s="8"/>
      <c r="BZ2124" s="8"/>
      <c r="CD2124" s="8"/>
    </row>
    <row r="2125" spans="73:82" ht="15.75">
      <c r="BU2125" s="8"/>
      <c r="BZ2125" s="8"/>
      <c r="CD2125" s="8"/>
    </row>
    <row r="2126" spans="73:82" ht="15.75">
      <c r="BU2126" s="8"/>
      <c r="BZ2126" s="8"/>
      <c r="CD2126" s="8"/>
    </row>
    <row r="2127" spans="73:82" ht="15.75">
      <c r="BU2127" s="8"/>
      <c r="BZ2127" s="8"/>
      <c r="CD2127" s="8"/>
    </row>
    <row r="2128" spans="73:82" ht="15.75">
      <c r="BU2128" s="8"/>
      <c r="BZ2128" s="8"/>
      <c r="CD2128" s="8"/>
    </row>
    <row r="2129" spans="73:82" ht="15.75">
      <c r="BU2129" s="8"/>
      <c r="BZ2129" s="8"/>
      <c r="CD2129" s="8"/>
    </row>
    <row r="2130" spans="73:82" ht="15.75">
      <c r="BU2130" s="8"/>
      <c r="BZ2130" s="8"/>
      <c r="CD2130" s="8"/>
    </row>
    <row r="2131" spans="73:82" ht="15.75">
      <c r="BU2131" s="8"/>
      <c r="BZ2131" s="8"/>
      <c r="CD2131" s="8"/>
    </row>
    <row r="2132" spans="73:82" ht="15.75">
      <c r="BU2132" s="8"/>
      <c r="BZ2132" s="8"/>
      <c r="CD2132" s="8"/>
    </row>
    <row r="2133" spans="73:82" ht="15.75">
      <c r="BU2133" s="8"/>
      <c r="BZ2133" s="8"/>
      <c r="CD2133" s="8"/>
    </row>
    <row r="2134" spans="73:82" ht="15.75">
      <c r="BU2134" s="8"/>
      <c r="BZ2134" s="8"/>
      <c r="CD2134" s="8"/>
    </row>
    <row r="2135" spans="73:82" ht="15.75">
      <c r="BU2135" s="8"/>
      <c r="BZ2135" s="8"/>
      <c r="CD2135" s="8"/>
    </row>
    <row r="2136" spans="73:82" ht="15.75">
      <c r="BU2136" s="8"/>
      <c r="BZ2136" s="8"/>
      <c r="CD2136" s="8"/>
    </row>
    <row r="2137" spans="73:82" ht="15.75">
      <c r="BU2137" s="8"/>
      <c r="BZ2137" s="8"/>
      <c r="CD2137" s="8"/>
    </row>
    <row r="2138" spans="73:82" ht="15.75">
      <c r="BU2138" s="8"/>
      <c r="BZ2138" s="8"/>
      <c r="CD2138" s="8"/>
    </row>
    <row r="2139" spans="73:82" ht="15.75">
      <c r="BU2139" s="8"/>
      <c r="BZ2139" s="8"/>
      <c r="CD2139" s="8"/>
    </row>
    <row r="2140" spans="73:82" ht="15.75">
      <c r="BU2140" s="8"/>
      <c r="BZ2140" s="8"/>
      <c r="CD2140" s="8"/>
    </row>
    <row r="2141" spans="73:82" ht="15.75">
      <c r="BU2141" s="8"/>
      <c r="BZ2141" s="8"/>
      <c r="CD2141" s="8"/>
    </row>
    <row r="2142" spans="73:82" ht="15.75">
      <c r="BU2142" s="8"/>
      <c r="BZ2142" s="8"/>
      <c r="CD2142" s="8"/>
    </row>
    <row r="2143" spans="73:82" ht="15.75">
      <c r="BU2143" s="8"/>
      <c r="BZ2143" s="8"/>
      <c r="CD2143" s="8"/>
    </row>
    <row r="2144" spans="73:82" ht="15.75">
      <c r="BU2144" s="8"/>
      <c r="BZ2144" s="8"/>
      <c r="CD2144" s="8"/>
    </row>
    <row r="2145" spans="73:82" ht="15.75">
      <c r="BU2145" s="8"/>
      <c r="BZ2145" s="8"/>
      <c r="CD2145" s="8"/>
    </row>
    <row r="2146" spans="73:82" ht="15.75">
      <c r="BU2146" s="8"/>
      <c r="BZ2146" s="8"/>
      <c r="CD2146" s="8"/>
    </row>
    <row r="2147" spans="73:82" ht="15.75">
      <c r="BU2147" s="8"/>
      <c r="BZ2147" s="8"/>
      <c r="CD2147" s="8"/>
    </row>
    <row r="2148" spans="73:82" ht="15.75">
      <c r="BU2148" s="8"/>
      <c r="BZ2148" s="8"/>
      <c r="CD2148" s="8"/>
    </row>
    <row r="2149" spans="73:82" ht="15.75">
      <c r="BU2149" s="8"/>
      <c r="BZ2149" s="8"/>
      <c r="CD2149" s="8"/>
    </row>
    <row r="2150" spans="73:82" ht="15.75">
      <c r="BU2150" s="8"/>
      <c r="BZ2150" s="8"/>
      <c r="CD2150" s="8"/>
    </row>
    <row r="2151" spans="73:82" ht="15.75">
      <c r="BU2151" s="8"/>
      <c r="BZ2151" s="8"/>
      <c r="CD2151" s="8"/>
    </row>
    <row r="2152" spans="73:82" ht="15.75">
      <c r="BU2152" s="8"/>
      <c r="BZ2152" s="8"/>
      <c r="CD2152" s="8"/>
    </row>
    <row r="2153" spans="73:82" ht="15.75">
      <c r="BU2153" s="8"/>
      <c r="BZ2153" s="8"/>
      <c r="CD2153" s="8"/>
    </row>
    <row r="2154" spans="73:82" ht="15.75">
      <c r="BU2154" s="8"/>
      <c r="BZ2154" s="8"/>
      <c r="CD2154" s="8"/>
    </row>
    <row r="2155" spans="73:82" ht="15.75">
      <c r="BU2155" s="8"/>
      <c r="BZ2155" s="8"/>
      <c r="CD2155" s="8"/>
    </row>
    <row r="2156" spans="73:82" ht="15.75">
      <c r="BU2156" s="8"/>
      <c r="BZ2156" s="8"/>
      <c r="CD2156" s="8"/>
    </row>
    <row r="2157" spans="73:82" ht="15.75">
      <c r="BU2157" s="8"/>
      <c r="BZ2157" s="8"/>
      <c r="CD2157" s="8"/>
    </row>
    <row r="2158" spans="73:82" ht="15.75">
      <c r="BU2158" s="8"/>
      <c r="BZ2158" s="8"/>
      <c r="CD2158" s="8"/>
    </row>
    <row r="2159" spans="73:82" ht="15.75">
      <c r="BU2159" s="8"/>
      <c r="BZ2159" s="8"/>
      <c r="CD2159" s="8"/>
    </row>
    <row r="2160" spans="73:82" ht="15.75">
      <c r="BU2160" s="8"/>
      <c r="BZ2160" s="8"/>
      <c r="CD2160" s="8"/>
    </row>
    <row r="2161" spans="73:82" ht="15.75">
      <c r="BU2161" s="8"/>
      <c r="BZ2161" s="8"/>
      <c r="CD2161" s="8"/>
    </row>
    <row r="2162" spans="73:82" ht="15.75">
      <c r="BU2162" s="8"/>
      <c r="BZ2162" s="8"/>
      <c r="CD2162" s="8"/>
    </row>
    <row r="2163" spans="73:82" ht="15.75">
      <c r="BU2163" s="8"/>
      <c r="BZ2163" s="8"/>
      <c r="CD2163" s="8"/>
    </row>
    <row r="2164" spans="73:82" ht="15.75">
      <c r="BU2164" s="8"/>
      <c r="BZ2164" s="8"/>
      <c r="CD2164" s="8"/>
    </row>
    <row r="2165" spans="73:82" ht="15.75">
      <c r="BU2165" s="8"/>
      <c r="BZ2165" s="8"/>
      <c r="CD2165" s="8"/>
    </row>
    <row r="2166" spans="73:82" ht="15.75">
      <c r="BU2166" s="8"/>
      <c r="BZ2166" s="8"/>
      <c r="CD2166" s="8"/>
    </row>
    <row r="2167" spans="73:82" ht="15.75">
      <c r="BU2167" s="8"/>
      <c r="BZ2167" s="8"/>
      <c r="CD2167" s="8"/>
    </row>
    <row r="2168" spans="73:82" ht="15.75">
      <c r="BU2168" s="8"/>
      <c r="BZ2168" s="8"/>
      <c r="CD2168" s="8"/>
    </row>
    <row r="2169" spans="73:82" ht="15.75">
      <c r="BU2169" s="8"/>
      <c r="BZ2169" s="8"/>
      <c r="CD2169" s="8"/>
    </row>
    <row r="2170" spans="73:82" ht="15.75">
      <c r="BU2170" s="8"/>
      <c r="BZ2170" s="8"/>
      <c r="CD2170" s="8"/>
    </row>
    <row r="2171" spans="73:82" ht="15.75">
      <c r="BU2171" s="8"/>
      <c r="BZ2171" s="8"/>
      <c r="CD2171" s="8"/>
    </row>
    <row r="2172" spans="73:82" ht="15.75">
      <c r="BU2172" s="8"/>
      <c r="BZ2172" s="8"/>
      <c r="CD2172" s="8"/>
    </row>
    <row r="2173" spans="73:82" ht="15.75">
      <c r="BU2173" s="8"/>
      <c r="BZ2173" s="8"/>
      <c r="CD2173" s="8"/>
    </row>
    <row r="2174" spans="73:82" ht="15.75">
      <c r="BU2174" s="8"/>
      <c r="BZ2174" s="8"/>
      <c r="CD2174" s="8"/>
    </row>
    <row r="2175" spans="73:82" ht="15.75">
      <c r="BU2175" s="8"/>
      <c r="BZ2175" s="8"/>
      <c r="CD2175" s="8"/>
    </row>
    <row r="2176" spans="73:82" ht="15.75">
      <c r="BU2176" s="8"/>
      <c r="BZ2176" s="8"/>
      <c r="CD2176" s="8"/>
    </row>
    <row r="2177" spans="73:82" ht="15.75">
      <c r="BU2177" s="8"/>
      <c r="BZ2177" s="8"/>
      <c r="CD2177" s="8"/>
    </row>
    <row r="2178" spans="73:82" ht="15.75">
      <c r="BU2178" s="8"/>
      <c r="BZ2178" s="8"/>
      <c r="CD2178" s="8"/>
    </row>
    <row r="2179" spans="73:82" ht="15.75">
      <c r="BU2179" s="8"/>
      <c r="BZ2179" s="8"/>
      <c r="CD2179" s="8"/>
    </row>
    <row r="2180" spans="73:82" ht="15.75">
      <c r="BU2180" s="8"/>
      <c r="BZ2180" s="8"/>
      <c r="CD2180" s="8"/>
    </row>
    <row r="2181" spans="73:82" ht="15.75">
      <c r="BU2181" s="8"/>
      <c r="BZ2181" s="8"/>
      <c r="CD2181" s="8"/>
    </row>
    <row r="2182" spans="73:82" ht="15.75">
      <c r="BU2182" s="8"/>
      <c r="BZ2182" s="8"/>
      <c r="CD2182" s="8"/>
    </row>
    <row r="2183" spans="73:82" ht="15.75">
      <c r="BU2183" s="8"/>
      <c r="BZ2183" s="8"/>
      <c r="CD2183" s="8"/>
    </row>
    <row r="2184" spans="73:82" ht="15.75">
      <c r="BU2184" s="8"/>
      <c r="BZ2184" s="8"/>
      <c r="CD2184" s="8"/>
    </row>
    <row r="2185" spans="73:82" ht="15.75">
      <c r="BU2185" s="8"/>
      <c r="BZ2185" s="8"/>
      <c r="CD2185" s="8"/>
    </row>
    <row r="2186" spans="73:82" ht="15.75">
      <c r="BU2186" s="8"/>
      <c r="BZ2186" s="8"/>
      <c r="CD2186" s="8"/>
    </row>
    <row r="2187" spans="73:82" ht="15.75">
      <c r="BU2187" s="8"/>
      <c r="BZ2187" s="8"/>
      <c r="CD2187" s="8"/>
    </row>
    <row r="2188" spans="73:82" ht="15.75">
      <c r="BU2188" s="8"/>
      <c r="BZ2188" s="8"/>
      <c r="CD2188" s="8"/>
    </row>
    <row r="2189" spans="73:82" ht="15.75">
      <c r="BU2189" s="8"/>
      <c r="BZ2189" s="8"/>
      <c r="CD2189" s="8"/>
    </row>
    <row r="2190" spans="73:82" ht="15.75">
      <c r="BU2190" s="8"/>
      <c r="BZ2190" s="8"/>
      <c r="CD2190" s="8"/>
    </row>
    <row r="2191" spans="73:82" ht="15.75">
      <c r="BU2191" s="8"/>
      <c r="BZ2191" s="8"/>
      <c r="CD2191" s="8"/>
    </row>
    <row r="2192" spans="73:82" ht="15.75">
      <c r="BU2192" s="8"/>
      <c r="BZ2192" s="8"/>
      <c r="CD2192" s="8"/>
    </row>
    <row r="2193" spans="73:82" ht="15.75">
      <c r="BU2193" s="8"/>
      <c r="BZ2193" s="8"/>
      <c r="CD2193" s="8"/>
    </row>
    <row r="2194" spans="73:82" ht="15.75">
      <c r="BU2194" s="8"/>
      <c r="BZ2194" s="8"/>
      <c r="CD2194" s="8"/>
    </row>
    <row r="2195" spans="73:82" ht="15.75">
      <c r="BU2195" s="8"/>
      <c r="BZ2195" s="8"/>
      <c r="CD2195" s="8"/>
    </row>
    <row r="2196" spans="73:82" ht="15.75">
      <c r="BU2196" s="8"/>
      <c r="BZ2196" s="8"/>
      <c r="CD2196" s="8"/>
    </row>
    <row r="2197" spans="73:82" ht="15.75">
      <c r="BU2197" s="8"/>
      <c r="BZ2197" s="8"/>
      <c r="CD2197" s="8"/>
    </row>
    <row r="2198" spans="73:82" ht="15.75">
      <c r="BU2198" s="8"/>
      <c r="BZ2198" s="8"/>
      <c r="CD2198" s="8"/>
    </row>
    <row r="2199" spans="73:82" ht="15.75">
      <c r="BU2199" s="8"/>
      <c r="BZ2199" s="8"/>
      <c r="CD2199" s="8"/>
    </row>
    <row r="2200" spans="73:82" ht="15.75">
      <c r="BU2200" s="8"/>
      <c r="BZ2200" s="8"/>
      <c r="CD2200" s="8"/>
    </row>
    <row r="2201" spans="73:82" ht="15.75">
      <c r="BU2201" s="8"/>
      <c r="BZ2201" s="8"/>
      <c r="CD2201" s="8"/>
    </row>
    <row r="2202" spans="73:82" ht="15.75">
      <c r="BU2202" s="8"/>
      <c r="BZ2202" s="8"/>
      <c r="CD2202" s="8"/>
    </row>
    <row r="2203" spans="73:82" ht="15.75">
      <c r="BU2203" s="8"/>
      <c r="BZ2203" s="8"/>
      <c r="CD2203" s="8"/>
    </row>
    <row r="2204" spans="73:82" ht="15.75">
      <c r="BU2204" s="8"/>
      <c r="BZ2204" s="8"/>
      <c r="CD2204" s="8"/>
    </row>
    <row r="2205" spans="73:82" ht="15.75">
      <c r="BU2205" s="8"/>
      <c r="BZ2205" s="8"/>
      <c r="CD2205" s="8"/>
    </row>
    <row r="2206" spans="73:82" ht="15.75">
      <c r="BU2206" s="8"/>
      <c r="BZ2206" s="8"/>
      <c r="CD2206" s="8"/>
    </row>
    <row r="2207" spans="73:82" ht="15.75">
      <c r="BU2207" s="8"/>
      <c r="BZ2207" s="8"/>
      <c r="CD2207" s="8"/>
    </row>
    <row r="2208" spans="73:82" ht="15.75">
      <c r="BU2208" s="8"/>
      <c r="BZ2208" s="8"/>
      <c r="CD2208" s="8"/>
    </row>
    <row r="2209" spans="73:82" ht="15.75">
      <c r="BU2209" s="8"/>
      <c r="BZ2209" s="8"/>
      <c r="CD2209" s="8"/>
    </row>
    <row r="2210" spans="73:82" ht="15.75">
      <c r="BU2210" s="8"/>
      <c r="BZ2210" s="8"/>
      <c r="CD2210" s="8"/>
    </row>
    <row r="2211" spans="73:82" ht="15.75">
      <c r="BU2211" s="8"/>
      <c r="BZ2211" s="8"/>
      <c r="CD2211" s="8"/>
    </row>
    <row r="2212" spans="73:82" ht="15.75">
      <c r="BU2212" s="8"/>
      <c r="BZ2212" s="8"/>
      <c r="CD2212" s="8"/>
    </row>
    <row r="2213" spans="73:82" ht="15.75">
      <c r="BU2213" s="8"/>
      <c r="BZ2213" s="8"/>
      <c r="CD2213" s="8"/>
    </row>
    <row r="2214" spans="73:82" ht="15.75">
      <c r="BU2214" s="8"/>
      <c r="BZ2214" s="8"/>
      <c r="CD2214" s="8"/>
    </row>
    <row r="2215" spans="73:82" ht="15.75">
      <c r="BU2215" s="8"/>
      <c r="BZ2215" s="8"/>
      <c r="CD2215" s="8"/>
    </row>
    <row r="2216" spans="73:82" ht="15.75">
      <c r="BU2216" s="8"/>
      <c r="BZ2216" s="8"/>
      <c r="CD2216" s="8"/>
    </row>
    <row r="2217" spans="73:82" ht="15.75">
      <c r="BU2217" s="8"/>
      <c r="BZ2217" s="8"/>
      <c r="CD2217" s="8"/>
    </row>
    <row r="2218" spans="73:82" ht="15.75">
      <c r="BU2218" s="8"/>
      <c r="BZ2218" s="8"/>
      <c r="CD2218" s="8"/>
    </row>
    <row r="2219" spans="73:82" ht="15.75">
      <c r="BU2219" s="8"/>
      <c r="BZ2219" s="8"/>
      <c r="CD2219" s="8"/>
    </row>
    <row r="2220" spans="73:82" ht="15.75">
      <c r="BU2220" s="8"/>
      <c r="BZ2220" s="8"/>
      <c r="CD2220" s="8"/>
    </row>
    <row r="2221" spans="73:82" ht="15.75">
      <c r="BU2221" s="8"/>
      <c r="BZ2221" s="8"/>
      <c r="CD2221" s="8"/>
    </row>
    <row r="2222" spans="73:82" ht="15.75">
      <c r="BU2222" s="8"/>
      <c r="BZ2222" s="8"/>
      <c r="CD2222" s="8"/>
    </row>
    <row r="2223" spans="73:82" ht="15.75">
      <c r="BU2223" s="8"/>
      <c r="BZ2223" s="8"/>
      <c r="CD2223" s="8"/>
    </row>
    <row r="2224" spans="73:82" ht="15.75">
      <c r="BU2224" s="8"/>
      <c r="BZ2224" s="8"/>
      <c r="CD2224" s="8"/>
    </row>
    <row r="2225" spans="73:82" ht="15.75">
      <c r="BU2225" s="8"/>
      <c r="BZ2225" s="8"/>
      <c r="CD2225" s="8"/>
    </row>
    <row r="2226" spans="73:82" ht="15.75">
      <c r="BU2226" s="8"/>
      <c r="BZ2226" s="8"/>
      <c r="CD2226" s="8"/>
    </row>
    <row r="2227" spans="73:82" ht="15.75">
      <c r="BU2227" s="8"/>
      <c r="BZ2227" s="8"/>
      <c r="CD2227" s="8"/>
    </row>
    <row r="2228" spans="73:82" ht="15.75">
      <c r="BU2228" s="8"/>
      <c r="BZ2228" s="8"/>
      <c r="CD2228" s="8"/>
    </row>
    <row r="2229" spans="73:82" ht="15.75">
      <c r="BU2229" s="8"/>
      <c r="BZ2229" s="8"/>
      <c r="CD2229" s="8"/>
    </row>
    <row r="2230" spans="73:82" ht="15.75">
      <c r="BU2230" s="8"/>
      <c r="BZ2230" s="8"/>
      <c r="CD2230" s="8"/>
    </row>
    <row r="2231" spans="73:82" ht="15.75">
      <c r="BU2231" s="8"/>
      <c r="BZ2231" s="8"/>
      <c r="CD2231" s="8"/>
    </row>
    <row r="2232" spans="73:82" ht="15.75">
      <c r="BU2232" s="8"/>
      <c r="BZ2232" s="8"/>
      <c r="CD2232" s="8"/>
    </row>
    <row r="2233" spans="73:82" ht="15.75">
      <c r="BU2233" s="8"/>
      <c r="BZ2233" s="8"/>
      <c r="CD2233" s="8"/>
    </row>
    <row r="2234" spans="73:82" ht="15.75">
      <c r="BU2234" s="8"/>
      <c r="BZ2234" s="8"/>
      <c r="CD2234" s="8"/>
    </row>
    <row r="2235" spans="73:82" ht="15.75">
      <c r="BU2235" s="8"/>
      <c r="BZ2235" s="8"/>
      <c r="CD2235" s="8"/>
    </row>
    <row r="2236" spans="73:82" ht="15.75">
      <c r="BU2236" s="8"/>
      <c r="BZ2236" s="8"/>
      <c r="CD2236" s="8"/>
    </row>
    <row r="2237" spans="73:82" ht="15.75">
      <c r="BU2237" s="8"/>
      <c r="BZ2237" s="8"/>
      <c r="CD2237" s="8"/>
    </row>
    <row r="2238" spans="73:82" ht="15.75">
      <c r="BU2238" s="8"/>
      <c r="BZ2238" s="8"/>
      <c r="CD2238" s="8"/>
    </row>
    <row r="2239" spans="73:82" ht="15.75">
      <c r="BU2239" s="8"/>
      <c r="BZ2239" s="8"/>
      <c r="CD2239" s="8"/>
    </row>
    <row r="2240" spans="73:82" ht="15.75">
      <c r="BU2240" s="8"/>
      <c r="BZ2240" s="8"/>
      <c r="CD2240" s="8"/>
    </row>
    <row r="2241" spans="73:82" ht="15.75">
      <c r="BU2241" s="8"/>
      <c r="BZ2241" s="8"/>
      <c r="CD2241" s="8"/>
    </row>
    <row r="2242" spans="73:82" ht="15.75">
      <c r="BU2242" s="8"/>
      <c r="BZ2242" s="8"/>
      <c r="CD2242" s="8"/>
    </row>
    <row r="2243" spans="73:82" ht="15.75">
      <c r="BU2243" s="8"/>
      <c r="BZ2243" s="8"/>
      <c r="CD2243" s="8"/>
    </row>
    <row r="2244" spans="73:82" ht="15.75">
      <c r="BU2244" s="8"/>
      <c r="BZ2244" s="8"/>
      <c r="CD2244" s="8"/>
    </row>
    <row r="2245" spans="73:82" ht="15.75">
      <c r="BU2245" s="8"/>
      <c r="BZ2245" s="8"/>
      <c r="CD2245" s="8"/>
    </row>
    <row r="2246" spans="73:82" ht="15.75">
      <c r="BU2246" s="8"/>
      <c r="BZ2246" s="8"/>
      <c r="CD2246" s="8"/>
    </row>
    <row r="2247" spans="73:82" ht="15.75">
      <c r="BU2247" s="8"/>
      <c r="BZ2247" s="8"/>
      <c r="CD2247" s="8"/>
    </row>
    <row r="2248" spans="73:82" ht="15.75">
      <c r="BU2248" s="8"/>
      <c r="BZ2248" s="8"/>
      <c r="CD2248" s="8"/>
    </row>
    <row r="2249" spans="73:82" ht="15.75">
      <c r="BU2249" s="8"/>
      <c r="BZ2249" s="8"/>
      <c r="CD2249" s="8"/>
    </row>
    <row r="2250" spans="73:82" ht="15.75">
      <c r="BU2250" s="8"/>
      <c r="BZ2250" s="8"/>
      <c r="CD2250" s="8"/>
    </row>
    <row r="2251" spans="73:82" ht="15.75">
      <c r="BU2251" s="8"/>
      <c r="BZ2251" s="8"/>
      <c r="CD2251" s="8"/>
    </row>
    <row r="2252" spans="73:82" ht="15.75">
      <c r="BU2252" s="8"/>
      <c r="BZ2252" s="8"/>
      <c r="CD2252" s="8"/>
    </row>
    <row r="2253" spans="73:82" ht="15.75">
      <c r="BU2253" s="8"/>
      <c r="BZ2253" s="8"/>
      <c r="CD2253" s="8"/>
    </row>
    <row r="2254" spans="73:82" ht="15.75">
      <c r="BU2254" s="8"/>
      <c r="BZ2254" s="8"/>
      <c r="CD2254" s="8"/>
    </row>
    <row r="2255" spans="73:82" ht="15.75">
      <c r="BU2255" s="8"/>
      <c r="BZ2255" s="8"/>
      <c r="CD2255" s="8"/>
    </row>
    <row r="2256" spans="73:82" ht="15.75">
      <c r="BU2256" s="8"/>
      <c r="BZ2256" s="8"/>
      <c r="CD2256" s="8"/>
    </row>
    <row r="2257" spans="73:82" ht="15.75">
      <c r="BU2257" s="8"/>
      <c r="BZ2257" s="8"/>
      <c r="CD2257" s="8"/>
    </row>
    <row r="2258" spans="73:82" ht="15.75">
      <c r="BU2258" s="8"/>
      <c r="BZ2258" s="8"/>
      <c r="CD2258" s="8"/>
    </row>
    <row r="2259" spans="73:82" ht="15.75">
      <c r="BU2259" s="8"/>
      <c r="BZ2259" s="8"/>
      <c r="CD2259" s="8"/>
    </row>
    <row r="2260" spans="73:82" ht="15.75">
      <c r="BU2260" s="8"/>
      <c r="BZ2260" s="8"/>
      <c r="CD2260" s="8"/>
    </row>
    <row r="2261" spans="73:82" ht="15.75">
      <c r="BU2261" s="8"/>
      <c r="BZ2261" s="8"/>
      <c r="CD2261" s="8"/>
    </row>
    <row r="2262" spans="73:82" ht="15.75">
      <c r="BU2262" s="8"/>
      <c r="BZ2262" s="8"/>
      <c r="CD2262" s="8"/>
    </row>
    <row r="2263" spans="73:82" ht="15.75">
      <c r="BU2263" s="8"/>
      <c r="BZ2263" s="8"/>
      <c r="CD2263" s="8"/>
    </row>
    <row r="2264" spans="73:82" ht="15.75">
      <c r="BU2264" s="8"/>
      <c r="BZ2264" s="8"/>
      <c r="CD2264" s="8"/>
    </row>
    <row r="2265" spans="73:82" ht="15.75">
      <c r="BU2265" s="8"/>
      <c r="BZ2265" s="8"/>
      <c r="CD2265" s="8"/>
    </row>
    <row r="2266" spans="73:82" ht="15.75">
      <c r="BU2266" s="8"/>
      <c r="BZ2266" s="8"/>
      <c r="CD2266" s="8"/>
    </row>
    <row r="2267" spans="73:82" ht="15.75">
      <c r="BU2267" s="8"/>
      <c r="BZ2267" s="8"/>
      <c r="CD2267" s="8"/>
    </row>
    <row r="2268" spans="73:82" ht="15.75">
      <c r="BU2268" s="8"/>
      <c r="BZ2268" s="8"/>
      <c r="CD2268" s="8"/>
    </row>
    <row r="2269" spans="73:82" ht="15.75">
      <c r="BU2269" s="8"/>
      <c r="BZ2269" s="8"/>
      <c r="CD2269" s="8"/>
    </row>
    <row r="2270" spans="73:82" ht="15.75">
      <c r="BU2270" s="8"/>
      <c r="BZ2270" s="8"/>
      <c r="CD2270" s="8"/>
    </row>
    <row r="2271" spans="73:82" ht="15.75">
      <c r="BU2271" s="8"/>
      <c r="BZ2271" s="8"/>
      <c r="CD2271" s="8"/>
    </row>
    <row r="2272" spans="73:82" ht="15.75">
      <c r="BU2272" s="8"/>
      <c r="BZ2272" s="8"/>
      <c r="CD2272" s="8"/>
    </row>
    <row r="2273" spans="73:82" ht="15.75">
      <c r="BU2273" s="8"/>
      <c r="BZ2273" s="8"/>
      <c r="CD2273" s="8"/>
    </row>
    <row r="2274" spans="73:82" ht="15.75">
      <c r="BU2274" s="8"/>
      <c r="BZ2274" s="8"/>
      <c r="CD2274" s="8"/>
    </row>
    <row r="2275" spans="73:82" ht="15.75">
      <c r="BU2275" s="8"/>
      <c r="BZ2275" s="8"/>
      <c r="CD2275" s="8"/>
    </row>
    <row r="2276" spans="73:82" ht="15.75">
      <c r="BU2276" s="8"/>
      <c r="BZ2276" s="8"/>
      <c r="CD2276" s="8"/>
    </row>
    <row r="2277" spans="73:82" ht="15.75">
      <c r="BU2277" s="8"/>
      <c r="BZ2277" s="8"/>
      <c r="CD2277" s="8"/>
    </row>
    <row r="2278" spans="73:82" ht="15.75">
      <c r="BU2278" s="8"/>
      <c r="BZ2278" s="8"/>
      <c r="CD2278" s="8"/>
    </row>
    <row r="2279" spans="73:82" ht="15.75">
      <c r="BU2279" s="8"/>
      <c r="BZ2279" s="8"/>
      <c r="CD2279" s="8"/>
    </row>
    <row r="2280" spans="73:82" ht="15.75">
      <c r="BU2280" s="8"/>
      <c r="BZ2280" s="8"/>
      <c r="CD2280" s="8"/>
    </row>
    <row r="2281" spans="73:82" ht="15.75">
      <c r="BU2281" s="8"/>
      <c r="BZ2281" s="8"/>
      <c r="CD2281" s="8"/>
    </row>
    <row r="2282" spans="73:82" ht="15.75">
      <c r="BU2282" s="8"/>
      <c r="BZ2282" s="8"/>
      <c r="CD2282" s="8"/>
    </row>
    <row r="2283" spans="73:82" ht="15.75">
      <c r="BU2283" s="8"/>
      <c r="BZ2283" s="8"/>
      <c r="CD2283" s="8"/>
    </row>
    <row r="2284" spans="73:82" ht="15.75">
      <c r="BU2284" s="8"/>
      <c r="BZ2284" s="8"/>
      <c r="CD2284" s="8"/>
    </row>
    <row r="2285" spans="73:82" ht="15.75">
      <c r="BU2285" s="8"/>
      <c r="BZ2285" s="8"/>
      <c r="CD2285" s="8"/>
    </row>
    <row r="2286" spans="73:82" ht="15.75">
      <c r="BU2286" s="8"/>
      <c r="BZ2286" s="8"/>
      <c r="CD2286" s="8"/>
    </row>
    <row r="2287" spans="73:82" ht="15.75">
      <c r="BU2287" s="8"/>
      <c r="BZ2287" s="8"/>
      <c r="CD2287" s="8"/>
    </row>
    <row r="2288" spans="73:82" ht="15.75">
      <c r="BU2288" s="8"/>
      <c r="BZ2288" s="8"/>
      <c r="CD2288" s="8"/>
    </row>
    <row r="2289" spans="73:82" ht="15.75">
      <c r="BU2289" s="8"/>
      <c r="BZ2289" s="8"/>
      <c r="CD2289" s="8"/>
    </row>
    <row r="2290" spans="73:82" ht="15.75">
      <c r="BU2290" s="8"/>
      <c r="BZ2290" s="8"/>
      <c r="CD2290" s="8"/>
    </row>
    <row r="2291" spans="73:82" ht="15.75">
      <c r="BU2291" s="8"/>
      <c r="BZ2291" s="8"/>
      <c r="CD2291" s="8"/>
    </row>
    <row r="2292" spans="73:82" ht="15.75">
      <c r="BU2292" s="8"/>
      <c r="BZ2292" s="8"/>
      <c r="CD2292" s="8"/>
    </row>
    <row r="2293" spans="73:82" ht="15.75">
      <c r="BU2293" s="8"/>
      <c r="BZ2293" s="8"/>
      <c r="CD2293" s="8"/>
    </row>
    <row r="2294" spans="73:82" ht="15.75">
      <c r="BU2294" s="8"/>
      <c r="BZ2294" s="8"/>
      <c r="CD2294" s="8"/>
    </row>
    <row r="2295" spans="73:82" ht="15.75">
      <c r="BU2295" s="8"/>
      <c r="BZ2295" s="8"/>
      <c r="CD2295" s="8"/>
    </row>
    <row r="2296" spans="73:82" ht="15.75">
      <c r="BU2296" s="8"/>
      <c r="BZ2296" s="8"/>
      <c r="CD2296" s="8"/>
    </row>
    <row r="2297" spans="73:82" ht="15.75">
      <c r="BU2297" s="8"/>
      <c r="BZ2297" s="8"/>
      <c r="CD2297" s="8"/>
    </row>
    <row r="2298" spans="73:82" ht="15.75">
      <c r="BU2298" s="8"/>
      <c r="BZ2298" s="8"/>
      <c r="CD2298" s="8"/>
    </row>
    <row r="2299" spans="73:82" ht="15.75">
      <c r="BU2299" s="8"/>
      <c r="BZ2299" s="8"/>
      <c r="CD2299" s="8"/>
    </row>
    <row r="2300" spans="73:82" ht="15.75">
      <c r="BU2300" s="8"/>
      <c r="BZ2300" s="8"/>
      <c r="CD2300" s="8"/>
    </row>
    <row r="2301" spans="73:82" ht="15.75">
      <c r="BU2301" s="8"/>
      <c r="BZ2301" s="8"/>
      <c r="CD2301" s="8"/>
    </row>
    <row r="2302" spans="73:82" ht="15.75">
      <c r="BU2302" s="8"/>
      <c r="BZ2302" s="8"/>
      <c r="CD2302" s="8"/>
    </row>
    <row r="2303" spans="73:82" ht="15.75">
      <c r="BU2303" s="8"/>
      <c r="BZ2303" s="8"/>
      <c r="CD2303" s="8"/>
    </row>
    <row r="2304" spans="73:82" ht="15.75">
      <c r="BU2304" s="8"/>
      <c r="BZ2304" s="8"/>
      <c r="CD2304" s="8"/>
    </row>
    <row r="2305" spans="73:82" ht="15.75">
      <c r="BU2305" s="8"/>
      <c r="BZ2305" s="8"/>
      <c r="CD2305" s="8"/>
    </row>
    <row r="2306" spans="73:82" ht="15.75">
      <c r="BU2306" s="8"/>
      <c r="BZ2306" s="8"/>
      <c r="CD2306" s="8"/>
    </row>
    <row r="2307" spans="73:82" ht="15.75">
      <c r="BU2307" s="8"/>
      <c r="BZ2307" s="8"/>
      <c r="CD2307" s="8"/>
    </row>
    <row r="2308" spans="73:82" ht="15.75">
      <c r="BU2308" s="8"/>
      <c r="BZ2308" s="8"/>
      <c r="CD2308" s="8"/>
    </row>
    <row r="2309" spans="73:82" ht="15.75">
      <c r="BU2309" s="8"/>
      <c r="BZ2309" s="8"/>
      <c r="CD2309" s="8"/>
    </row>
    <row r="2310" spans="73:82" ht="15.75">
      <c r="BU2310" s="8"/>
      <c r="BZ2310" s="8"/>
      <c r="CD2310" s="8"/>
    </row>
    <row r="2311" spans="73:82" ht="15.75">
      <c r="BU2311" s="8"/>
      <c r="BZ2311" s="8"/>
      <c r="CD2311" s="8"/>
    </row>
    <row r="2312" spans="73:82" ht="15.75">
      <c r="BU2312" s="8"/>
      <c r="BZ2312" s="8"/>
      <c r="CD2312" s="8"/>
    </row>
    <row r="2313" spans="73:82" ht="15.75">
      <c r="BU2313" s="8"/>
      <c r="BZ2313" s="8"/>
      <c r="CD2313" s="8"/>
    </row>
    <row r="2314" spans="73:82" ht="15.75">
      <c r="BU2314" s="8"/>
      <c r="BZ2314" s="8"/>
      <c r="CD2314" s="8"/>
    </row>
    <row r="2315" spans="73:82" ht="15.75">
      <c r="BU2315" s="8"/>
      <c r="BZ2315" s="8"/>
      <c r="CD2315" s="8"/>
    </row>
    <row r="2316" spans="73:82" ht="15.75">
      <c r="BU2316" s="8"/>
      <c r="BZ2316" s="8"/>
      <c r="CD2316" s="8"/>
    </row>
    <row r="2317" spans="73:82" ht="15.75">
      <c r="BU2317" s="8"/>
      <c r="BZ2317" s="8"/>
      <c r="CD2317" s="8"/>
    </row>
    <row r="2318" spans="73:82" ht="15.75">
      <c r="BU2318" s="8"/>
      <c r="BZ2318" s="8"/>
      <c r="CD2318" s="8"/>
    </row>
    <row r="2319" spans="73:82" ht="15.75">
      <c r="BU2319" s="8"/>
      <c r="BZ2319" s="8"/>
      <c r="CD2319" s="8"/>
    </row>
    <row r="2320" spans="73:82" ht="15.75">
      <c r="BU2320" s="8"/>
      <c r="BZ2320" s="8"/>
      <c r="CD2320" s="8"/>
    </row>
    <row r="2321" spans="73:82" ht="15.75">
      <c r="BU2321" s="8"/>
      <c r="BZ2321" s="8"/>
      <c r="CD2321" s="8"/>
    </row>
    <row r="2322" spans="73:82" ht="15.75">
      <c r="BU2322" s="8"/>
      <c r="BZ2322" s="8"/>
      <c r="CD2322" s="8"/>
    </row>
    <row r="2323" spans="73:82" ht="15.75">
      <c r="BU2323" s="8"/>
      <c r="BZ2323" s="8"/>
      <c r="CD2323" s="8"/>
    </row>
    <row r="2324" spans="73:82" ht="15.75">
      <c r="BU2324" s="8"/>
      <c r="BZ2324" s="8"/>
      <c r="CD2324" s="8"/>
    </row>
    <row r="2325" spans="73:82" ht="15.75">
      <c r="BU2325" s="8"/>
      <c r="BZ2325" s="8"/>
      <c r="CD2325" s="8"/>
    </row>
    <row r="2326" spans="73:82" ht="15.75">
      <c r="BU2326" s="8"/>
      <c r="BZ2326" s="8"/>
      <c r="CD2326" s="8"/>
    </row>
    <row r="2327" spans="73:82" ht="15.75">
      <c r="BU2327" s="8"/>
      <c r="BZ2327" s="8"/>
      <c r="CD2327" s="8"/>
    </row>
    <row r="2328" spans="73:82" ht="15.75">
      <c r="BU2328" s="8"/>
      <c r="BZ2328" s="8"/>
      <c r="CD2328" s="8"/>
    </row>
    <row r="2329" spans="73:82" ht="15.75">
      <c r="BU2329" s="8"/>
      <c r="BZ2329" s="8"/>
      <c r="CD2329" s="8"/>
    </row>
    <row r="2330" spans="73:82" ht="15.75">
      <c r="BU2330" s="8"/>
      <c r="BZ2330" s="8"/>
      <c r="CD2330" s="8"/>
    </row>
    <row r="2331" spans="73:82" ht="15.75">
      <c r="BU2331" s="8"/>
      <c r="BZ2331" s="8"/>
      <c r="CD2331" s="8"/>
    </row>
    <row r="2332" spans="73:82" ht="15.75">
      <c r="BU2332" s="8"/>
      <c r="BZ2332" s="8"/>
      <c r="CD2332" s="8"/>
    </row>
    <row r="2333" spans="73:82" ht="15.75">
      <c r="BU2333" s="8"/>
      <c r="BZ2333" s="8"/>
      <c r="CD2333" s="8"/>
    </row>
    <row r="2334" spans="73:82" ht="15.75">
      <c r="BU2334" s="8"/>
      <c r="BZ2334" s="8"/>
      <c r="CD2334" s="8"/>
    </row>
    <row r="2335" spans="73:82" ht="15.75">
      <c r="BU2335" s="8"/>
      <c r="BZ2335" s="8"/>
      <c r="CD2335" s="8"/>
    </row>
    <row r="2336" spans="73:82" ht="15.75">
      <c r="BU2336" s="8"/>
      <c r="BZ2336" s="8"/>
      <c r="CD2336" s="8"/>
    </row>
    <row r="2337" spans="73:82" ht="15.75">
      <c r="BU2337" s="8"/>
      <c r="BZ2337" s="8"/>
      <c r="CD2337" s="8"/>
    </row>
    <row r="2338" spans="73:82" ht="15.75">
      <c r="BU2338" s="8"/>
      <c r="BZ2338" s="8"/>
      <c r="CD2338" s="8"/>
    </row>
    <row r="2339" spans="73:82" ht="15.75">
      <c r="BU2339" s="8"/>
      <c r="BZ2339" s="8"/>
      <c r="CD2339" s="8"/>
    </row>
    <row r="2340" spans="73:82" ht="15.75">
      <c r="BU2340" s="8"/>
      <c r="BZ2340" s="8"/>
      <c r="CD2340" s="8"/>
    </row>
    <row r="2341" spans="73:82" ht="15.75">
      <c r="BU2341" s="8"/>
      <c r="BZ2341" s="8"/>
      <c r="CD2341" s="8"/>
    </row>
    <row r="2342" spans="73:82" ht="15.75">
      <c r="BU2342" s="8"/>
      <c r="BZ2342" s="8"/>
      <c r="CD2342" s="8"/>
    </row>
    <row r="2343" spans="73:82" ht="15.75">
      <c r="BU2343" s="8"/>
      <c r="BZ2343" s="8"/>
      <c r="CD2343" s="8"/>
    </row>
    <row r="2344" spans="73:82" ht="15.75">
      <c r="BU2344" s="8"/>
      <c r="BZ2344" s="8"/>
      <c r="CD2344" s="8"/>
    </row>
    <row r="2345" spans="73:82" ht="15.75">
      <c r="BU2345" s="8"/>
      <c r="BZ2345" s="8"/>
      <c r="CD2345" s="8"/>
    </row>
    <row r="2346" spans="73:82" ht="15.75">
      <c r="BU2346" s="8"/>
      <c r="BZ2346" s="8"/>
      <c r="CD2346" s="8"/>
    </row>
    <row r="2347" spans="73:82" ht="15.75">
      <c r="BU2347" s="8"/>
      <c r="BZ2347" s="8"/>
      <c r="CD2347" s="8"/>
    </row>
    <row r="2348" spans="73:82" ht="15.75">
      <c r="BU2348" s="8"/>
      <c r="BZ2348" s="8"/>
      <c r="CD2348" s="8"/>
    </row>
    <row r="2349" spans="73:82" ht="15.75">
      <c r="BU2349" s="8"/>
      <c r="BZ2349" s="8"/>
      <c r="CD2349" s="8"/>
    </row>
    <row r="2350" spans="73:82" ht="15.75">
      <c r="BU2350" s="8"/>
      <c r="BZ2350" s="8"/>
      <c r="CD2350" s="8"/>
    </row>
    <row r="2351" spans="73:82" ht="15.75">
      <c r="BU2351" s="8"/>
      <c r="BZ2351" s="8"/>
      <c r="CD2351" s="8"/>
    </row>
    <row r="2352" spans="73:82" ht="15.75">
      <c r="BU2352" s="8"/>
      <c r="BZ2352" s="8"/>
      <c r="CD2352" s="8"/>
    </row>
    <row r="2353" spans="73:82" ht="15.75">
      <c r="BU2353" s="8"/>
      <c r="BZ2353" s="8"/>
      <c r="CD2353" s="8"/>
    </row>
    <row r="2354" spans="73:82" ht="15.75">
      <c r="BU2354" s="8"/>
      <c r="BZ2354" s="8"/>
      <c r="CD2354" s="8"/>
    </row>
    <row r="2355" spans="73:82" ht="15.75">
      <c r="BU2355" s="8"/>
      <c r="BZ2355" s="8"/>
      <c r="CD2355" s="8"/>
    </row>
    <row r="2356" spans="73:82" ht="15.75">
      <c r="BU2356" s="8"/>
      <c r="BZ2356" s="8"/>
      <c r="CD2356" s="8"/>
    </row>
    <row r="2357" spans="73:82" ht="15.75">
      <c r="BU2357" s="8"/>
      <c r="BZ2357" s="8"/>
      <c r="CD2357" s="8"/>
    </row>
    <row r="2358" spans="73:82" ht="15.75">
      <c r="BU2358" s="8"/>
      <c r="BZ2358" s="8"/>
      <c r="CD2358" s="8"/>
    </row>
    <row r="2359" spans="73:82" ht="15.75">
      <c r="BU2359" s="8"/>
      <c r="BZ2359" s="8"/>
      <c r="CD2359" s="8"/>
    </row>
    <row r="2360" spans="73:82" ht="15.75">
      <c r="BU2360" s="8"/>
      <c r="BZ2360" s="8"/>
      <c r="CD2360" s="8"/>
    </row>
    <row r="2361" spans="73:82" ht="15.75">
      <c r="BU2361" s="8"/>
      <c r="BZ2361" s="8"/>
      <c r="CD2361" s="8"/>
    </row>
    <row r="2362" spans="73:82" ht="15.75">
      <c r="BU2362" s="8"/>
      <c r="BZ2362" s="8"/>
      <c r="CD2362" s="8"/>
    </row>
    <row r="2363" spans="73:82" ht="15.75">
      <c r="BU2363" s="8"/>
      <c r="BZ2363" s="8"/>
      <c r="CD2363" s="8"/>
    </row>
    <row r="2364" spans="73:82" ht="15.75">
      <c r="BU2364" s="8"/>
      <c r="BZ2364" s="8"/>
      <c r="CD2364" s="8"/>
    </row>
    <row r="2365" spans="73:82" ht="15.75">
      <c r="BU2365" s="8"/>
      <c r="BZ2365" s="8"/>
      <c r="CD2365" s="8"/>
    </row>
    <row r="2366" spans="73:82" ht="15.75">
      <c r="BU2366" s="8"/>
      <c r="BZ2366" s="8"/>
      <c r="CD2366" s="8"/>
    </row>
    <row r="2367" spans="73:82" ht="15.75">
      <c r="BU2367" s="8"/>
      <c r="BZ2367" s="8"/>
      <c r="CD2367" s="8"/>
    </row>
    <row r="2368" spans="73:82" ht="15.75">
      <c r="BU2368" s="8"/>
      <c r="BZ2368" s="8"/>
      <c r="CD2368" s="8"/>
    </row>
    <row r="2369" spans="73:82" ht="15.75">
      <c r="BU2369" s="8"/>
      <c r="BZ2369" s="8"/>
      <c r="CD2369" s="8"/>
    </row>
    <row r="2370" spans="73:82" ht="15.75">
      <c r="BU2370" s="8"/>
      <c r="BZ2370" s="8"/>
      <c r="CD2370" s="8"/>
    </row>
    <row r="2371" spans="73:82" ht="15.75">
      <c r="BU2371" s="8"/>
      <c r="BZ2371" s="8"/>
      <c r="CD2371" s="8"/>
    </row>
    <row r="2372" spans="73:82" ht="15.75">
      <c r="BU2372" s="8"/>
      <c r="BZ2372" s="8"/>
      <c r="CD2372" s="8"/>
    </row>
    <row r="2373" spans="73:82" ht="15.75">
      <c r="BU2373" s="8"/>
      <c r="BZ2373" s="8"/>
      <c r="CD2373" s="8"/>
    </row>
    <row r="2374" spans="73:82" ht="15.75">
      <c r="BU2374" s="8"/>
      <c r="BZ2374" s="8"/>
      <c r="CD2374" s="8"/>
    </row>
    <row r="2375" spans="73:82" ht="15.75">
      <c r="BU2375" s="8"/>
      <c r="BZ2375" s="8"/>
      <c r="CD2375" s="8"/>
    </row>
    <row r="2376" spans="73:82" ht="15.75">
      <c r="BU2376" s="8"/>
      <c r="BZ2376" s="8"/>
      <c r="CD2376" s="8"/>
    </row>
    <row r="2377" spans="73:82" ht="15.75">
      <c r="BU2377" s="8"/>
      <c r="BZ2377" s="8"/>
      <c r="CD2377" s="8"/>
    </row>
    <row r="2378" spans="73:82" ht="15.75">
      <c r="BU2378" s="8"/>
      <c r="BZ2378" s="8"/>
      <c r="CD2378" s="8"/>
    </row>
    <row r="2379" spans="73:82" ht="15.75">
      <c r="BU2379" s="8"/>
      <c r="BZ2379" s="8"/>
      <c r="CD2379" s="8"/>
    </row>
    <row r="2380" spans="73:82" ht="15.75">
      <c r="BU2380" s="8"/>
      <c r="BZ2380" s="8"/>
      <c r="CD2380" s="8"/>
    </row>
    <row r="2381" spans="73:82" ht="15.75">
      <c r="BU2381" s="8"/>
      <c r="BZ2381" s="8"/>
      <c r="CD2381" s="8"/>
    </row>
    <row r="2382" spans="73:82" ht="15.75">
      <c r="BU2382" s="8"/>
      <c r="BZ2382" s="8"/>
      <c r="CD2382" s="8"/>
    </row>
    <row r="2383" spans="73:82" ht="15.75">
      <c r="BU2383" s="8"/>
      <c r="BZ2383" s="8"/>
      <c r="CD2383" s="8"/>
    </row>
    <row r="2384" spans="73:82" ht="15.75">
      <c r="BU2384" s="8"/>
      <c r="BZ2384" s="8"/>
      <c r="CD2384" s="8"/>
    </row>
    <row r="2385" spans="73:82" ht="15.75">
      <c r="BU2385" s="8"/>
      <c r="BZ2385" s="8"/>
      <c r="CD2385" s="8"/>
    </row>
    <row r="2386" spans="73:82" ht="15.75">
      <c r="BU2386" s="8"/>
      <c r="BZ2386" s="8"/>
      <c r="CD2386" s="8"/>
    </row>
    <row r="2387" spans="73:82" ht="15.75">
      <c r="BU2387" s="8"/>
      <c r="BZ2387" s="8"/>
      <c r="CD2387" s="8"/>
    </row>
    <row r="2388" spans="73:82" ht="15.75">
      <c r="BU2388" s="8"/>
      <c r="BZ2388" s="8"/>
      <c r="CD2388" s="8"/>
    </row>
    <row r="2389" spans="73:82" ht="15.75">
      <c r="BU2389" s="8"/>
      <c r="BZ2389" s="8"/>
      <c r="CD2389" s="8"/>
    </row>
    <row r="2390" spans="73:82" ht="15.75">
      <c r="BU2390" s="8"/>
      <c r="BZ2390" s="8"/>
      <c r="CD2390" s="8"/>
    </row>
    <row r="2391" spans="73:82" ht="15.75">
      <c r="BU2391" s="8"/>
      <c r="BZ2391" s="8"/>
      <c r="CD2391" s="8"/>
    </row>
    <row r="2392" spans="73:82" ht="15.75">
      <c r="BU2392" s="8"/>
      <c r="BZ2392" s="8"/>
      <c r="CD2392" s="8"/>
    </row>
    <row r="2393" spans="73:82" ht="15.75">
      <c r="BU2393" s="8"/>
      <c r="BZ2393" s="8"/>
      <c r="CD2393" s="8"/>
    </row>
    <row r="2394" spans="73:82" ht="15.75">
      <c r="BU2394" s="8"/>
      <c r="BZ2394" s="8"/>
      <c r="CD2394" s="8"/>
    </row>
    <row r="2395" spans="73:82" ht="15.75">
      <c r="BU2395" s="8"/>
      <c r="BZ2395" s="8"/>
      <c r="CD2395" s="8"/>
    </row>
    <row r="2396" spans="73:82" ht="15.75">
      <c r="BU2396" s="8"/>
      <c r="BZ2396" s="8"/>
      <c r="CD2396" s="8"/>
    </row>
    <row r="2397" spans="73:82" ht="15.75">
      <c r="BU2397" s="8"/>
      <c r="BZ2397" s="8"/>
      <c r="CD2397" s="8"/>
    </row>
    <row r="2398" spans="73:82" ht="15.75">
      <c r="BU2398" s="8"/>
      <c r="BZ2398" s="8"/>
      <c r="CD2398" s="8"/>
    </row>
    <row r="2399" spans="73:82" ht="15.75">
      <c r="BU2399" s="8"/>
      <c r="BZ2399" s="8"/>
      <c r="CD2399" s="8"/>
    </row>
    <row r="2400" spans="73:82" ht="15.75">
      <c r="BU2400" s="8"/>
      <c r="BZ2400" s="8"/>
      <c r="CD2400" s="8"/>
    </row>
    <row r="2401" spans="73:82" ht="15.75">
      <c r="BU2401" s="8"/>
      <c r="BZ2401" s="8"/>
      <c r="CD2401" s="8"/>
    </row>
    <row r="2402" spans="73:82" ht="15.75">
      <c r="BU2402" s="8"/>
      <c r="BZ2402" s="8"/>
      <c r="CD2402" s="8"/>
    </row>
    <row r="2403" spans="73:82" ht="15.75">
      <c r="BU2403" s="8"/>
      <c r="BZ2403" s="8"/>
      <c r="CD2403" s="8"/>
    </row>
    <row r="2404" spans="73:82" ht="15.75">
      <c r="BU2404" s="8"/>
      <c r="BZ2404" s="8"/>
      <c r="CD2404" s="8"/>
    </row>
    <row r="2405" spans="73:82" ht="15.75">
      <c r="BU2405" s="8"/>
      <c r="BZ2405" s="8"/>
      <c r="CD2405" s="8"/>
    </row>
    <row r="2406" spans="73:82" ht="15.75">
      <c r="BU2406" s="8"/>
      <c r="BZ2406" s="8"/>
      <c r="CD2406" s="8"/>
    </row>
    <row r="2407" spans="73:82" ht="15.75">
      <c r="BU2407" s="8"/>
      <c r="BZ2407" s="8"/>
      <c r="CD2407" s="8"/>
    </row>
    <row r="2408" spans="73:82" ht="15.75">
      <c r="BU2408" s="8"/>
      <c r="BZ2408" s="8"/>
      <c r="CD2408" s="8"/>
    </row>
    <row r="2409" spans="73:82" ht="15.75">
      <c r="BU2409" s="8"/>
      <c r="BZ2409" s="8"/>
      <c r="CD2409" s="8"/>
    </row>
    <row r="2410" spans="73:82" ht="15.75">
      <c r="BU2410" s="8"/>
      <c r="BZ2410" s="8"/>
      <c r="CD2410" s="8"/>
    </row>
    <row r="2411" spans="73:82" ht="15.75">
      <c r="BU2411" s="8"/>
      <c r="BZ2411" s="8"/>
      <c r="CD2411" s="8"/>
    </row>
    <row r="2412" spans="73:82" ht="15.75">
      <c r="BU2412" s="8"/>
      <c r="BZ2412" s="8"/>
      <c r="CD2412" s="8"/>
    </row>
    <row r="2413" spans="73:82" ht="15.75">
      <c r="BU2413" s="8"/>
      <c r="BZ2413" s="8"/>
      <c r="CD2413" s="8"/>
    </row>
    <row r="2414" spans="73:82" ht="15.75">
      <c r="BU2414" s="8"/>
      <c r="BZ2414" s="8"/>
      <c r="CD2414" s="8"/>
    </row>
    <row r="2415" spans="73:82" ht="15.75">
      <c r="BU2415" s="8"/>
      <c r="BZ2415" s="8"/>
      <c r="CD2415" s="8"/>
    </row>
    <row r="2416" spans="73:82" ht="15.75">
      <c r="BU2416" s="8"/>
      <c r="BZ2416" s="8"/>
      <c r="CD2416" s="8"/>
    </row>
    <row r="2417" spans="73:82" ht="15.75">
      <c r="BU2417" s="8"/>
      <c r="BZ2417" s="8"/>
      <c r="CD2417" s="8"/>
    </row>
    <row r="2418" spans="73:82" ht="15.75">
      <c r="BU2418" s="8"/>
      <c r="BZ2418" s="8"/>
      <c r="CD2418" s="8"/>
    </row>
    <row r="2419" spans="73:82" ht="15.75">
      <c r="BU2419" s="8"/>
      <c r="BZ2419" s="8"/>
      <c r="CD2419" s="8"/>
    </row>
    <row r="2420" spans="73:82" ht="15.75">
      <c r="BU2420" s="8"/>
      <c r="BZ2420" s="8"/>
      <c r="CD2420" s="8"/>
    </row>
    <row r="2421" spans="73:82" ht="15.75">
      <c r="BU2421" s="8"/>
      <c r="BZ2421" s="8"/>
      <c r="CD2421" s="8"/>
    </row>
    <row r="2422" spans="73:82" ht="15.75">
      <c r="BU2422" s="8"/>
      <c r="BZ2422" s="8"/>
      <c r="CD2422" s="8"/>
    </row>
    <row r="2423" spans="73:82" ht="15.75">
      <c r="BU2423" s="8"/>
      <c r="BZ2423" s="8"/>
      <c r="CD2423" s="8"/>
    </row>
    <row r="2424" spans="73:82" ht="15.75">
      <c r="BU2424" s="8"/>
      <c r="BZ2424" s="8"/>
      <c r="CD2424" s="8"/>
    </row>
    <row r="2425" spans="73:82" ht="15.75">
      <c r="BU2425" s="8"/>
      <c r="BZ2425" s="8"/>
      <c r="CD2425" s="8"/>
    </row>
    <row r="2426" spans="73:82" ht="15.75">
      <c r="BU2426" s="8"/>
      <c r="BZ2426" s="8"/>
      <c r="CD2426" s="8"/>
    </row>
    <row r="2427" spans="73:82" ht="15.75">
      <c r="BU2427" s="8"/>
      <c r="BZ2427" s="8"/>
      <c r="CD2427" s="8"/>
    </row>
    <row r="2428" spans="73:82" ht="15.75">
      <c r="BU2428" s="8"/>
      <c r="BZ2428" s="8"/>
      <c r="CD2428" s="8"/>
    </row>
    <row r="2429" spans="73:82" ht="15.75">
      <c r="BU2429" s="8"/>
      <c r="BZ2429" s="8"/>
      <c r="CD2429" s="8"/>
    </row>
    <row r="2430" spans="73:82" ht="15.75">
      <c r="BU2430" s="8"/>
      <c r="BZ2430" s="8"/>
      <c r="CD2430" s="8"/>
    </row>
    <row r="2431" spans="73:82" ht="15.75">
      <c r="BU2431" s="8"/>
      <c r="BZ2431" s="8"/>
      <c r="CD2431" s="8"/>
    </row>
    <row r="2432" spans="73:82" ht="15.75">
      <c r="BU2432" s="8"/>
      <c r="BZ2432" s="8"/>
      <c r="CD2432" s="8"/>
    </row>
    <row r="2433" spans="73:82" ht="15.75">
      <c r="BU2433" s="8"/>
      <c r="BZ2433" s="8"/>
      <c r="CD2433" s="8"/>
    </row>
    <row r="2434" spans="73:82" ht="15.75">
      <c r="BU2434" s="8"/>
      <c r="BZ2434" s="8"/>
      <c r="CD2434" s="8"/>
    </row>
    <row r="2435" spans="73:82" ht="15.75">
      <c r="BU2435" s="8"/>
      <c r="BZ2435" s="8"/>
      <c r="CD2435" s="8"/>
    </row>
    <row r="2436" spans="73:82" ht="15.75">
      <c r="BU2436" s="8"/>
      <c r="BZ2436" s="8"/>
      <c r="CD2436" s="8"/>
    </row>
    <row r="2437" spans="73:82" ht="15.75">
      <c r="BU2437" s="8"/>
      <c r="BZ2437" s="8"/>
      <c r="CD2437" s="8"/>
    </row>
    <row r="2438" spans="73:82" ht="15.75">
      <c r="BU2438" s="8"/>
      <c r="BZ2438" s="8"/>
      <c r="CD2438" s="8"/>
    </row>
    <row r="2439" spans="73:82" ht="15.75">
      <c r="BU2439" s="8"/>
      <c r="BZ2439" s="8"/>
      <c r="CD2439" s="8"/>
    </row>
    <row r="2440" spans="73:82" ht="15.75">
      <c r="BU2440" s="8"/>
      <c r="BZ2440" s="8"/>
      <c r="CD2440" s="8"/>
    </row>
    <row r="2441" spans="73:82" ht="15.75">
      <c r="BU2441" s="8"/>
      <c r="BZ2441" s="8"/>
      <c r="CD2441" s="8"/>
    </row>
    <row r="2442" spans="73:82" ht="15.75">
      <c r="BU2442" s="8"/>
      <c r="BZ2442" s="8"/>
      <c r="CD2442" s="8"/>
    </row>
    <row r="2443" spans="73:82" ht="15.75">
      <c r="BU2443" s="8"/>
      <c r="BZ2443" s="8"/>
      <c r="CD2443" s="8"/>
    </row>
    <row r="2444" spans="73:82" ht="15.75">
      <c r="BU2444" s="8"/>
      <c r="BZ2444" s="8"/>
      <c r="CD2444" s="8"/>
    </row>
    <row r="2445" spans="73:82" ht="15.75">
      <c r="BU2445" s="8"/>
      <c r="BZ2445" s="8"/>
      <c r="CD2445" s="8"/>
    </row>
    <row r="2446" spans="73:82" ht="15.75">
      <c r="BU2446" s="8"/>
      <c r="BZ2446" s="8"/>
      <c r="CD2446" s="8"/>
    </row>
    <row r="2447" spans="73:82" ht="15.75">
      <c r="BU2447" s="8"/>
      <c r="BZ2447" s="8"/>
      <c r="CD2447" s="8"/>
    </row>
    <row r="2448" spans="73:82" ht="15.75">
      <c r="BU2448" s="8"/>
      <c r="BZ2448" s="8"/>
      <c r="CD2448" s="8"/>
    </row>
    <row r="2449" spans="73:82" ht="15.75">
      <c r="BU2449" s="8"/>
      <c r="BZ2449" s="8"/>
      <c r="CD2449" s="8"/>
    </row>
    <row r="2450" spans="73:82" ht="15.75">
      <c r="BU2450" s="8"/>
      <c r="BZ2450" s="8"/>
      <c r="CD2450" s="8"/>
    </row>
    <row r="2451" spans="73:82" ht="15.75">
      <c r="BU2451" s="8"/>
      <c r="BZ2451" s="8"/>
      <c r="CD2451" s="8"/>
    </row>
    <row r="2452" spans="73:82" ht="15.75">
      <c r="BU2452" s="8"/>
      <c r="BZ2452" s="8"/>
      <c r="CD2452" s="8"/>
    </row>
    <row r="2453" spans="73:82" ht="15.75">
      <c r="BU2453" s="8"/>
      <c r="BZ2453" s="8"/>
      <c r="CD2453" s="8"/>
    </row>
    <row r="2454" spans="73:82" ht="15.75">
      <c r="BU2454" s="8"/>
      <c r="BZ2454" s="8"/>
      <c r="CD2454" s="8"/>
    </row>
    <row r="2455" spans="73:82" ht="15.75">
      <c r="BU2455" s="8"/>
      <c r="BZ2455" s="8"/>
      <c r="CD2455" s="8"/>
    </row>
    <row r="2456" spans="73:82" ht="15.75">
      <c r="BU2456" s="8"/>
      <c r="BZ2456" s="8"/>
      <c r="CD2456" s="8"/>
    </row>
    <row r="2457" spans="73:82" ht="15.75">
      <c r="BU2457" s="8"/>
      <c r="BZ2457" s="8"/>
      <c r="CD2457" s="8"/>
    </row>
    <row r="2458" spans="73:82" ht="15.75">
      <c r="BU2458" s="8"/>
      <c r="BZ2458" s="8"/>
      <c r="CD2458" s="8"/>
    </row>
    <row r="2459" spans="73:82" ht="15.75">
      <c r="BU2459" s="8"/>
      <c r="BZ2459" s="8"/>
      <c r="CD2459" s="8"/>
    </row>
    <row r="2460" spans="73:82" ht="15.75">
      <c r="BU2460" s="8"/>
      <c r="BZ2460" s="8"/>
      <c r="CD2460" s="8"/>
    </row>
    <row r="2461" spans="73:82" ht="15.75">
      <c r="BU2461" s="8"/>
      <c r="BZ2461" s="8"/>
      <c r="CD2461" s="8"/>
    </row>
    <row r="2462" spans="73:82" ht="15.75">
      <c r="BU2462" s="8"/>
      <c r="BZ2462" s="8"/>
      <c r="CD2462" s="8"/>
    </row>
    <row r="2463" spans="73:82" ht="15.75">
      <c r="BU2463" s="8"/>
      <c r="BZ2463" s="8"/>
      <c r="CD2463" s="8"/>
    </row>
    <row r="2464" spans="73:82" ht="15.75">
      <c r="BU2464" s="8"/>
      <c r="BZ2464" s="8"/>
      <c r="CD2464" s="8"/>
    </row>
    <row r="2465" spans="73:82" ht="15.75">
      <c r="BU2465" s="8"/>
      <c r="BZ2465" s="8"/>
      <c r="CD2465" s="8"/>
    </row>
    <row r="2466" spans="73:82" ht="15.75">
      <c r="BU2466" s="8"/>
      <c r="BZ2466" s="8"/>
      <c r="CD2466" s="8"/>
    </row>
    <row r="2467" spans="73:82" ht="15.75">
      <c r="BU2467" s="8"/>
      <c r="BZ2467" s="8"/>
      <c r="CD2467" s="8"/>
    </row>
    <row r="2468" spans="73:82" ht="15.75">
      <c r="BU2468" s="8"/>
      <c r="BZ2468" s="8"/>
      <c r="CD2468" s="8"/>
    </row>
    <row r="2469" spans="73:82" ht="15.75">
      <c r="BU2469" s="8"/>
      <c r="BZ2469" s="8"/>
      <c r="CD2469" s="8"/>
    </row>
    <row r="2470" spans="73:82" ht="15.75">
      <c r="BU2470" s="8"/>
      <c r="BZ2470" s="8"/>
      <c r="CD2470" s="8"/>
    </row>
    <row r="2471" spans="73:82" ht="15.75">
      <c r="BU2471" s="8"/>
      <c r="BZ2471" s="8"/>
      <c r="CD2471" s="8"/>
    </row>
    <row r="2472" spans="73:82" ht="15.75">
      <c r="BU2472" s="8"/>
      <c r="BZ2472" s="8"/>
      <c r="CD2472" s="8"/>
    </row>
    <row r="2473" spans="73:82" ht="15.75">
      <c r="BU2473" s="8"/>
      <c r="BZ2473" s="8"/>
      <c r="CD2473" s="8"/>
    </row>
    <row r="2474" spans="73:82" ht="15.75">
      <c r="BU2474" s="8"/>
      <c r="BZ2474" s="8"/>
      <c r="CD2474" s="8"/>
    </row>
    <row r="2475" spans="73:82" ht="15.75">
      <c r="BU2475" s="8"/>
      <c r="BZ2475" s="8"/>
      <c r="CD2475" s="8"/>
    </row>
    <row r="2476" spans="73:82" ht="15.75">
      <c r="BU2476" s="8"/>
      <c r="BZ2476" s="8"/>
      <c r="CD2476" s="8"/>
    </row>
    <row r="2477" spans="73:82" ht="15.75">
      <c r="BU2477" s="8"/>
      <c r="BZ2477" s="8"/>
      <c r="CD2477" s="8"/>
    </row>
    <row r="2478" spans="73:82" ht="15.75">
      <c r="BU2478" s="8"/>
      <c r="BZ2478" s="8"/>
      <c r="CD2478" s="8"/>
    </row>
    <row r="2479" spans="73:82" ht="15.75">
      <c r="BU2479" s="8"/>
      <c r="BZ2479" s="8"/>
      <c r="CD2479" s="8"/>
    </row>
    <row r="2480" spans="73:82" ht="15.75">
      <c r="BU2480" s="8"/>
      <c r="BZ2480" s="8"/>
      <c r="CD2480" s="8"/>
    </row>
    <row r="2481" spans="73:82" ht="15.75">
      <c r="BU2481" s="8"/>
      <c r="BZ2481" s="8"/>
      <c r="CD2481" s="8"/>
    </row>
    <row r="2482" spans="73:82" ht="15.75">
      <c r="BU2482" s="8"/>
      <c r="BZ2482" s="8"/>
      <c r="CD2482" s="8"/>
    </row>
    <row r="2483" spans="73:82" ht="15.75">
      <c r="BU2483" s="8"/>
      <c r="BZ2483" s="8"/>
      <c r="CD2483" s="8"/>
    </row>
    <row r="2484" spans="73:82" ht="15.75">
      <c r="BU2484" s="8"/>
      <c r="BZ2484" s="8"/>
      <c r="CD2484" s="8"/>
    </row>
    <row r="2485" spans="73:82" ht="15.75">
      <c r="BU2485" s="8"/>
      <c r="BZ2485" s="8"/>
      <c r="CD2485" s="8"/>
    </row>
    <row r="2486" spans="73:82" ht="15.75">
      <c r="BU2486" s="8"/>
      <c r="BZ2486" s="8"/>
      <c r="CD2486" s="8"/>
    </row>
    <row r="2487" spans="73:82" ht="15.75">
      <c r="BU2487" s="8"/>
      <c r="BZ2487" s="8"/>
      <c r="CD2487" s="8"/>
    </row>
    <row r="2488" spans="73:82" ht="15.75">
      <c r="BU2488" s="8"/>
      <c r="BZ2488" s="8"/>
      <c r="CD2488" s="8"/>
    </row>
    <row r="2489" spans="73:82" ht="15.75">
      <c r="BU2489" s="8"/>
      <c r="BZ2489" s="8"/>
      <c r="CD2489" s="8"/>
    </row>
    <row r="2490" spans="73:82" ht="15.75">
      <c r="BU2490" s="8"/>
      <c r="BZ2490" s="8"/>
      <c r="CD2490" s="8"/>
    </row>
    <row r="2491" spans="73:82" ht="15.75">
      <c r="BU2491" s="8"/>
      <c r="BZ2491" s="8"/>
      <c r="CD2491" s="8"/>
    </row>
    <row r="2492" spans="73:82" ht="15.75">
      <c r="BU2492" s="8"/>
      <c r="BZ2492" s="8"/>
      <c r="CD2492" s="8"/>
    </row>
    <row r="2493" spans="73:82" ht="15.75">
      <c r="BU2493" s="8"/>
      <c r="BZ2493" s="8"/>
      <c r="CD2493" s="8"/>
    </row>
    <row r="2494" spans="73:82" ht="15.75">
      <c r="BU2494" s="8"/>
      <c r="BZ2494" s="8"/>
      <c r="CD2494" s="8"/>
    </row>
    <row r="2495" spans="73:82" ht="15.75">
      <c r="BU2495" s="8"/>
      <c r="BZ2495" s="8"/>
      <c r="CD2495" s="8"/>
    </row>
    <row r="2496" spans="73:82" ht="15.75">
      <c r="BU2496" s="8"/>
      <c r="BZ2496" s="8"/>
      <c r="CD2496" s="8"/>
    </row>
    <row r="2497" spans="73:82" ht="15.75">
      <c r="BU2497" s="8"/>
      <c r="BZ2497" s="8"/>
      <c r="CD2497" s="8"/>
    </row>
    <row r="2498" spans="73:82" ht="15.75">
      <c r="BU2498" s="8"/>
      <c r="BZ2498" s="8"/>
      <c r="CD2498" s="8"/>
    </row>
    <row r="2499" spans="73:82" ht="15.75">
      <c r="BU2499" s="8"/>
      <c r="BZ2499" s="8"/>
      <c r="CD2499" s="8"/>
    </row>
    <row r="2500" spans="73:82" ht="15.75">
      <c r="BU2500" s="8"/>
      <c r="BZ2500" s="8"/>
      <c r="CD2500" s="8"/>
    </row>
    <row r="2501" spans="73:82" ht="15.75">
      <c r="BU2501" s="8"/>
      <c r="BZ2501" s="8"/>
      <c r="CD2501" s="8"/>
    </row>
    <row r="2502" spans="73:82" ht="15.75">
      <c r="BU2502" s="8"/>
      <c r="BZ2502" s="8"/>
      <c r="CD2502" s="8"/>
    </row>
    <row r="2503" spans="73:82" ht="15.75">
      <c r="BU2503" s="8"/>
      <c r="BZ2503" s="8"/>
      <c r="CD2503" s="8"/>
    </row>
    <row r="2504" spans="73:82" ht="15.75">
      <c r="BU2504" s="8"/>
      <c r="BZ2504" s="8"/>
      <c r="CD2504" s="8"/>
    </row>
    <row r="2505" spans="73:82" ht="15.75">
      <c r="BU2505" s="8"/>
      <c r="BZ2505" s="8"/>
      <c r="CD2505" s="8"/>
    </row>
    <row r="2506" spans="73:82" ht="15.75">
      <c r="BU2506" s="8"/>
      <c r="BZ2506" s="8"/>
      <c r="CD2506" s="8"/>
    </row>
    <row r="2507" spans="73:82" ht="15.75">
      <c r="BU2507" s="8"/>
      <c r="BZ2507" s="8"/>
      <c r="CD2507" s="8"/>
    </row>
    <row r="2508" spans="73:82" ht="15.75">
      <c r="BU2508" s="8"/>
      <c r="BZ2508" s="8"/>
      <c r="CD2508" s="8"/>
    </row>
    <row r="2509" spans="73:82" ht="15.75">
      <c r="BU2509" s="8"/>
      <c r="BZ2509" s="8"/>
      <c r="CD2509" s="8"/>
    </row>
    <row r="2510" spans="73:82" ht="15.75">
      <c r="BU2510" s="8"/>
      <c r="BZ2510" s="8"/>
      <c r="CD2510" s="8"/>
    </row>
    <row r="2511" spans="73:82" ht="15.75">
      <c r="BU2511" s="8"/>
      <c r="BZ2511" s="8"/>
      <c r="CD2511" s="8"/>
    </row>
    <row r="2512" spans="73:82" ht="15.75">
      <c r="BU2512" s="8"/>
      <c r="BZ2512" s="8"/>
      <c r="CD2512" s="8"/>
    </row>
    <row r="2513" spans="73:82" ht="15.75">
      <c r="BU2513" s="8"/>
      <c r="BZ2513" s="8"/>
      <c r="CD2513" s="8"/>
    </row>
    <row r="2514" spans="73:82" ht="15.75">
      <c r="BU2514" s="8"/>
      <c r="BZ2514" s="8"/>
      <c r="CD2514" s="8"/>
    </row>
    <row r="2515" spans="73:82" ht="15.75">
      <c r="BU2515" s="8"/>
      <c r="BZ2515" s="8"/>
      <c r="CD2515" s="8"/>
    </row>
    <row r="2516" spans="73:82" ht="15.75">
      <c r="BU2516" s="8"/>
      <c r="BZ2516" s="8"/>
      <c r="CD2516" s="8"/>
    </row>
    <row r="2517" spans="73:82" ht="15.75">
      <c r="BU2517" s="8"/>
      <c r="BZ2517" s="8"/>
      <c r="CD2517" s="8"/>
    </row>
    <row r="2518" spans="73:82" ht="15.75">
      <c r="BU2518" s="8"/>
      <c r="BZ2518" s="8"/>
      <c r="CD2518" s="8"/>
    </row>
    <row r="2519" spans="73:82" ht="15.75">
      <c r="BU2519" s="8"/>
      <c r="BZ2519" s="8"/>
      <c r="CD2519" s="8"/>
    </row>
    <row r="2520" spans="73:82" ht="15.75">
      <c r="BU2520" s="8"/>
      <c r="BZ2520" s="8"/>
      <c r="CD2520" s="8"/>
    </row>
    <row r="2521" spans="73:82" ht="15.75">
      <c r="BU2521" s="8"/>
      <c r="BZ2521" s="8"/>
      <c r="CD2521" s="8"/>
    </row>
    <row r="2522" spans="73:82" ht="15.75">
      <c r="BU2522" s="8"/>
      <c r="BZ2522" s="8"/>
      <c r="CD2522" s="8"/>
    </row>
    <row r="2523" spans="73:82" ht="15.75">
      <c r="BU2523" s="8"/>
      <c r="BZ2523" s="8"/>
      <c r="CD2523" s="8"/>
    </row>
    <row r="2524" spans="73:82" ht="15.75">
      <c r="BU2524" s="8"/>
      <c r="BZ2524" s="8"/>
      <c r="CD2524" s="8"/>
    </row>
    <row r="2525" spans="73:82" ht="15.75">
      <c r="BU2525" s="8"/>
      <c r="BZ2525" s="8"/>
      <c r="CD2525" s="8"/>
    </row>
    <row r="2526" spans="73:82" ht="15.75">
      <c r="BU2526" s="8"/>
      <c r="BZ2526" s="8"/>
      <c r="CD2526" s="8"/>
    </row>
    <row r="2527" spans="73:82" ht="15.75">
      <c r="BU2527" s="8"/>
      <c r="BZ2527" s="8"/>
      <c r="CD2527" s="8"/>
    </row>
    <row r="2528" spans="73:82" ht="15.75">
      <c r="BU2528" s="8"/>
      <c r="BZ2528" s="8"/>
      <c r="CD2528" s="8"/>
    </row>
    <row r="2529" spans="73:82" ht="15.75">
      <c r="BU2529" s="8"/>
      <c r="BZ2529" s="8"/>
      <c r="CD2529" s="8"/>
    </row>
    <row r="2530" spans="73:82" ht="15.75">
      <c r="BU2530" s="8"/>
      <c r="BZ2530" s="8"/>
      <c r="CD2530" s="8"/>
    </row>
    <row r="2531" spans="73:82" ht="15.75">
      <c r="BU2531" s="8"/>
      <c r="BZ2531" s="8"/>
      <c r="CD2531" s="8"/>
    </row>
    <row r="2532" spans="73:82" ht="15.75">
      <c r="BU2532" s="8"/>
      <c r="BZ2532" s="8"/>
      <c r="CD2532" s="8"/>
    </row>
    <row r="2533" spans="73:82" ht="15.75">
      <c r="BU2533" s="8"/>
      <c r="BZ2533" s="8"/>
      <c r="CD2533" s="8"/>
    </row>
    <row r="2534" spans="73:82" ht="15.75">
      <c r="BU2534" s="8"/>
      <c r="BZ2534" s="8"/>
      <c r="CD2534" s="8"/>
    </row>
    <row r="2535" spans="73:82" ht="15.75">
      <c r="BU2535" s="8"/>
      <c r="BZ2535" s="8"/>
      <c r="CD2535" s="8"/>
    </row>
    <row r="2536" spans="73:82" ht="15.75">
      <c r="BU2536" s="8"/>
      <c r="BZ2536" s="8"/>
      <c r="CD2536" s="8"/>
    </row>
    <row r="2537" spans="73:82" ht="15.75">
      <c r="BU2537" s="8"/>
      <c r="BZ2537" s="8"/>
      <c r="CD2537" s="8"/>
    </row>
    <row r="2538" spans="73:82" ht="15.75">
      <c r="BU2538" s="8"/>
      <c r="BZ2538" s="8"/>
      <c r="CD2538" s="8"/>
    </row>
    <row r="2539" spans="73:82" ht="15.75">
      <c r="BU2539" s="8"/>
      <c r="BZ2539" s="8"/>
      <c r="CD2539" s="8"/>
    </row>
    <row r="2540" spans="73:82" ht="15.75">
      <c r="BU2540" s="8"/>
      <c r="BZ2540" s="8"/>
      <c r="CD2540" s="8"/>
    </row>
    <row r="2541" spans="73:82" ht="15.75">
      <c r="BU2541" s="8"/>
      <c r="BZ2541" s="8"/>
      <c r="CD2541" s="8"/>
    </row>
    <row r="2542" spans="73:82" ht="15.75">
      <c r="BU2542" s="8"/>
      <c r="BZ2542" s="8"/>
      <c r="CD2542" s="8"/>
    </row>
    <row r="2543" spans="73:82" ht="15.75">
      <c r="BU2543" s="8"/>
      <c r="BZ2543" s="8"/>
      <c r="CD2543" s="8"/>
    </row>
    <row r="2544" spans="73:82" ht="15.75">
      <c r="BU2544" s="8"/>
      <c r="BZ2544" s="8"/>
      <c r="CD2544" s="8"/>
    </row>
    <row r="2545" spans="73:82" ht="15.75">
      <c r="BU2545" s="8"/>
      <c r="BZ2545" s="8"/>
      <c r="CD2545" s="8"/>
    </row>
    <row r="2546" spans="73:82" ht="15.75">
      <c r="BU2546" s="8"/>
      <c r="BZ2546" s="8"/>
      <c r="CD2546" s="8"/>
    </row>
    <row r="2547" spans="73:82" ht="15.75">
      <c r="BU2547" s="8"/>
      <c r="BZ2547" s="8"/>
      <c r="CD2547" s="8"/>
    </row>
    <row r="2548" spans="73:82" ht="15.75">
      <c r="BU2548" s="8"/>
      <c r="BZ2548" s="8"/>
      <c r="CD2548" s="8"/>
    </row>
    <row r="2549" spans="73:82" ht="15.75">
      <c r="BU2549" s="8"/>
      <c r="BZ2549" s="8"/>
      <c r="CD2549" s="8"/>
    </row>
    <row r="2550" spans="73:82" ht="15.75">
      <c r="BU2550" s="8"/>
      <c r="BZ2550" s="8"/>
      <c r="CD2550" s="8"/>
    </row>
    <row r="2551" spans="73:82" ht="15.75">
      <c r="BU2551" s="8"/>
      <c r="BZ2551" s="8"/>
      <c r="CD2551" s="8"/>
    </row>
    <row r="2552" spans="73:82" ht="15.75">
      <c r="BU2552" s="8"/>
      <c r="BZ2552" s="8"/>
      <c r="CD2552" s="8"/>
    </row>
    <row r="2553" spans="73:82" ht="15.75">
      <c r="BU2553" s="8"/>
      <c r="BZ2553" s="8"/>
      <c r="CD2553" s="8"/>
    </row>
    <row r="2554" spans="73:82" ht="15.75">
      <c r="BU2554" s="8"/>
      <c r="BZ2554" s="8"/>
      <c r="CD2554" s="8"/>
    </row>
    <row r="2555" spans="73:82" ht="15.75">
      <c r="BU2555" s="8"/>
      <c r="BZ2555" s="8"/>
      <c r="CD2555" s="8"/>
    </row>
    <row r="2556" spans="73:82" ht="15.75">
      <c r="BU2556" s="8"/>
      <c r="BZ2556" s="8"/>
      <c r="CD2556" s="8"/>
    </row>
    <row r="2557" spans="73:82" ht="15.75">
      <c r="BU2557" s="8"/>
      <c r="BZ2557" s="8"/>
      <c r="CD2557" s="8"/>
    </row>
    <row r="2558" spans="73:82" ht="15.75">
      <c r="BU2558" s="8"/>
      <c r="BZ2558" s="8"/>
      <c r="CD2558" s="8"/>
    </row>
    <row r="2559" spans="73:82" ht="15.75">
      <c r="BU2559" s="8"/>
      <c r="BZ2559" s="8"/>
      <c r="CD2559" s="8"/>
    </row>
    <row r="2560" spans="73:82" ht="15.75">
      <c r="BU2560" s="8"/>
      <c r="BZ2560" s="8"/>
      <c r="CD2560" s="8"/>
    </row>
    <row r="2561" spans="73:82" ht="15.75">
      <c r="BU2561" s="8"/>
      <c r="BZ2561" s="8"/>
      <c r="CD2561" s="8"/>
    </row>
    <row r="2562" spans="73:82" ht="15.75">
      <c r="BU2562" s="8"/>
      <c r="BZ2562" s="8"/>
      <c r="CD2562" s="8"/>
    </row>
    <row r="2563" spans="73:82" ht="15.75">
      <c r="BU2563" s="8"/>
      <c r="BZ2563" s="8"/>
      <c r="CD2563" s="8"/>
    </row>
    <row r="2564" spans="73:82" ht="15.75">
      <c r="BU2564" s="8"/>
      <c r="BZ2564" s="8"/>
      <c r="CD2564" s="8"/>
    </row>
    <row r="2565" spans="73:82" ht="15.75">
      <c r="BU2565" s="8"/>
      <c r="BZ2565" s="8"/>
      <c r="CD2565" s="8"/>
    </row>
    <row r="2566" spans="73:82" ht="15.75">
      <c r="BU2566" s="8"/>
      <c r="BZ2566" s="8"/>
      <c r="CD2566" s="8"/>
    </row>
    <row r="2567" spans="73:82" ht="15.75">
      <c r="BU2567" s="8"/>
      <c r="BZ2567" s="8"/>
      <c r="CD2567" s="8"/>
    </row>
    <row r="2568" spans="73:82" ht="15.75">
      <c r="BU2568" s="8"/>
      <c r="BZ2568" s="8"/>
      <c r="CD2568" s="8"/>
    </row>
    <row r="2569" spans="73:82" ht="15.75">
      <c r="BU2569" s="8"/>
      <c r="BZ2569" s="8"/>
      <c r="CD2569" s="8"/>
    </row>
    <row r="2570" spans="73:82" ht="15.75">
      <c r="BU2570" s="8"/>
      <c r="BZ2570" s="8"/>
      <c r="CD2570" s="8"/>
    </row>
    <row r="2571" spans="73:82" ht="15.75">
      <c r="BU2571" s="8"/>
      <c r="BZ2571" s="8"/>
      <c r="CD2571" s="8"/>
    </row>
    <row r="2572" spans="73:82" ht="15.75">
      <c r="BU2572" s="8"/>
      <c r="BZ2572" s="8"/>
      <c r="CD2572" s="8"/>
    </row>
    <row r="2573" spans="73:82" ht="15.75">
      <c r="BU2573" s="8"/>
      <c r="BZ2573" s="8"/>
      <c r="CD2573" s="8"/>
    </row>
    <row r="2574" spans="73:82" ht="15.75">
      <c r="BU2574" s="8"/>
      <c r="BZ2574" s="8"/>
      <c r="CD2574" s="8"/>
    </row>
    <row r="2575" spans="73:82" ht="15.75">
      <c r="BU2575" s="8"/>
      <c r="BZ2575" s="8"/>
      <c r="CD2575" s="8"/>
    </row>
    <row r="2576" spans="73:82" ht="15.75">
      <c r="BU2576" s="8"/>
      <c r="BZ2576" s="8"/>
      <c r="CD2576" s="8"/>
    </row>
    <row r="2577" spans="73:82" ht="15.75">
      <c r="BU2577" s="8"/>
      <c r="BZ2577" s="8"/>
      <c r="CD2577" s="8"/>
    </row>
    <row r="2578" spans="73:82" ht="15.75">
      <c r="BU2578" s="8"/>
      <c r="BZ2578" s="8"/>
      <c r="CD2578" s="8"/>
    </row>
    <row r="2579" spans="73:82" ht="15.75">
      <c r="BU2579" s="8"/>
      <c r="BZ2579" s="8"/>
      <c r="CD2579" s="8"/>
    </row>
    <row r="2580" spans="73:82" ht="15.75">
      <c r="BU2580" s="8"/>
      <c r="BZ2580" s="8"/>
      <c r="CD2580" s="8"/>
    </row>
    <row r="2581" spans="73:82" ht="15.75">
      <c r="BU2581" s="8"/>
      <c r="BZ2581" s="8"/>
      <c r="CD2581" s="8"/>
    </row>
    <row r="2582" spans="73:82" ht="15.75">
      <c r="BU2582" s="8"/>
      <c r="BZ2582" s="8"/>
      <c r="CD2582" s="8"/>
    </row>
    <row r="2583" spans="73:82" ht="15.75">
      <c r="BU2583" s="8"/>
      <c r="BZ2583" s="8"/>
      <c r="CD2583" s="8"/>
    </row>
    <row r="2584" spans="73:82" ht="15.75">
      <c r="BU2584" s="8"/>
      <c r="BZ2584" s="8"/>
      <c r="CD2584" s="8"/>
    </row>
    <row r="2585" spans="73:82" ht="15.75">
      <c r="BU2585" s="8"/>
      <c r="BZ2585" s="8"/>
      <c r="CD2585" s="8"/>
    </row>
    <row r="2586" spans="73:82" ht="15.75">
      <c r="BU2586" s="8"/>
      <c r="BZ2586" s="8"/>
      <c r="CD2586" s="8"/>
    </row>
    <row r="2587" spans="73:82" ht="15.75">
      <c r="BU2587" s="8"/>
      <c r="BZ2587" s="8"/>
      <c r="CD2587" s="8"/>
    </row>
    <row r="2588" spans="73:82" ht="15.75">
      <c r="BU2588" s="8"/>
      <c r="BZ2588" s="8"/>
      <c r="CD2588" s="8"/>
    </row>
    <row r="2589" spans="73:82" ht="15.75">
      <c r="BU2589" s="8"/>
      <c r="BZ2589" s="8"/>
      <c r="CD2589" s="8"/>
    </row>
    <row r="2590" spans="73:82" ht="15.75">
      <c r="BU2590" s="8"/>
      <c r="BZ2590" s="8"/>
      <c r="CD2590" s="8"/>
    </row>
    <row r="2591" spans="73:82" ht="15.75">
      <c r="BU2591" s="8"/>
      <c r="BZ2591" s="8"/>
      <c r="CD2591" s="8"/>
    </row>
    <row r="2592" spans="73:82" ht="15.75">
      <c r="BU2592" s="8"/>
      <c r="BZ2592" s="8"/>
      <c r="CD2592" s="8"/>
    </row>
    <row r="2593" spans="73:82" ht="15.75">
      <c r="BU2593" s="8"/>
      <c r="BZ2593" s="8"/>
      <c r="CD2593" s="8"/>
    </row>
    <row r="2594" spans="73:82" ht="15.75">
      <c r="BU2594" s="8"/>
      <c r="BZ2594" s="8"/>
      <c r="CD2594" s="8"/>
    </row>
    <row r="2595" spans="73:82" ht="15.75">
      <c r="BU2595" s="8"/>
      <c r="BZ2595" s="8"/>
      <c r="CD2595" s="8"/>
    </row>
    <row r="2596" spans="73:82" ht="15.75">
      <c r="BU2596" s="8"/>
      <c r="BZ2596" s="8"/>
      <c r="CD2596" s="8"/>
    </row>
    <row r="2597" spans="73:82" ht="15.75">
      <c r="BU2597" s="8"/>
      <c r="BZ2597" s="8"/>
      <c r="CD2597" s="8"/>
    </row>
    <row r="2598" spans="73:82" ht="15.75">
      <c r="BU2598" s="8"/>
      <c r="BZ2598" s="8"/>
      <c r="CD2598" s="8"/>
    </row>
    <row r="2599" spans="73:82" ht="15.75">
      <c r="BU2599" s="8"/>
      <c r="BZ2599" s="8"/>
      <c r="CD2599" s="8"/>
    </row>
    <row r="2600" spans="73:82" ht="15.75">
      <c r="BU2600" s="8"/>
      <c r="BZ2600" s="8"/>
      <c r="CD2600" s="8"/>
    </row>
    <row r="2601" spans="73:82" ht="15.75">
      <c r="BU2601" s="8"/>
      <c r="BZ2601" s="8"/>
      <c r="CD2601" s="8"/>
    </row>
    <row r="2602" spans="73:82" ht="15.75">
      <c r="BU2602" s="8"/>
      <c r="BZ2602" s="8"/>
      <c r="CD2602" s="8"/>
    </row>
    <row r="2603" spans="73:82" ht="15.75">
      <c r="BU2603" s="8"/>
      <c r="BZ2603" s="8"/>
      <c r="CD2603" s="8"/>
    </row>
    <row r="2604" spans="73:82" ht="15.75">
      <c r="BU2604" s="8"/>
      <c r="BZ2604" s="8"/>
      <c r="CD2604" s="8"/>
    </row>
    <row r="2605" spans="73:82" ht="15.75">
      <c r="BU2605" s="8"/>
      <c r="BZ2605" s="8"/>
      <c r="CD2605" s="8"/>
    </row>
    <row r="2606" spans="73:82" ht="15.75">
      <c r="BU2606" s="8"/>
      <c r="BZ2606" s="8"/>
      <c r="CD2606" s="8"/>
    </row>
    <row r="2607" spans="73:82" ht="15.75">
      <c r="BU2607" s="8"/>
      <c r="BZ2607" s="8"/>
      <c r="CD2607" s="8"/>
    </row>
    <row r="2608" spans="73:82" ht="15.75">
      <c r="BU2608" s="8"/>
      <c r="BZ2608" s="8"/>
      <c r="CD2608" s="8"/>
    </row>
    <row r="2609" spans="73:82" ht="15.75">
      <c r="BU2609" s="8"/>
      <c r="BZ2609" s="8"/>
      <c r="CD2609" s="8"/>
    </row>
    <row r="2610" spans="73:82" ht="15.75">
      <c r="BU2610" s="8"/>
      <c r="BZ2610" s="8"/>
      <c r="CD2610" s="8"/>
    </row>
    <row r="2611" spans="73:82" ht="15.75">
      <c r="BU2611" s="8"/>
      <c r="BZ2611" s="8"/>
      <c r="CD2611" s="8"/>
    </row>
    <row r="2612" spans="73:82" ht="15.75">
      <c r="BU2612" s="8"/>
      <c r="BZ2612" s="8"/>
      <c r="CD2612" s="8"/>
    </row>
    <row r="2613" spans="73:82" ht="15.75">
      <c r="BU2613" s="8"/>
      <c r="BZ2613" s="8"/>
      <c r="CD2613" s="8"/>
    </row>
    <row r="2614" spans="73:82" ht="15.75">
      <c r="BU2614" s="8"/>
      <c r="BZ2614" s="8"/>
      <c r="CD2614" s="8"/>
    </row>
    <row r="2615" spans="73:82" ht="15.75">
      <c r="BU2615" s="8"/>
      <c r="BZ2615" s="8"/>
      <c r="CD2615" s="8"/>
    </row>
    <row r="2616" spans="73:82" ht="15.75">
      <c r="BU2616" s="8"/>
      <c r="BZ2616" s="8"/>
      <c r="CD2616" s="8"/>
    </row>
    <row r="2617" spans="73:82" ht="15.75">
      <c r="BU2617" s="8"/>
      <c r="BZ2617" s="8"/>
      <c r="CD2617" s="8"/>
    </row>
    <row r="2618" spans="73:82" ht="15.75">
      <c r="BU2618" s="8"/>
      <c r="BZ2618" s="8"/>
      <c r="CD2618" s="8"/>
    </row>
    <row r="2619" spans="73:82" ht="15.75">
      <c r="BU2619" s="8"/>
      <c r="BZ2619" s="8"/>
      <c r="CD2619" s="8"/>
    </row>
    <row r="2620" spans="73:82" ht="15.75">
      <c r="BU2620" s="8"/>
      <c r="BZ2620" s="8"/>
      <c r="CD2620" s="8"/>
    </row>
    <row r="2621" spans="73:82" ht="15.75">
      <c r="BU2621" s="8"/>
      <c r="BZ2621" s="8"/>
      <c r="CD2621" s="8"/>
    </row>
    <row r="2622" spans="73:82" ht="15.75">
      <c r="BU2622" s="8"/>
      <c r="BZ2622" s="8"/>
      <c r="CD2622" s="8"/>
    </row>
    <row r="2623" spans="73:82" ht="15.75">
      <c r="BU2623" s="8"/>
      <c r="BZ2623" s="8"/>
      <c r="CD2623" s="8"/>
    </row>
    <row r="2624" spans="73:82" ht="15.75">
      <c r="BU2624" s="8"/>
      <c r="BZ2624" s="8"/>
      <c r="CD2624" s="8"/>
    </row>
    <row r="2625" spans="73:82" ht="15.75">
      <c r="BU2625" s="8"/>
      <c r="BZ2625" s="8"/>
      <c r="CD2625" s="8"/>
    </row>
    <row r="2626" spans="73:82" ht="15.75">
      <c r="BU2626" s="8"/>
      <c r="BZ2626" s="8"/>
      <c r="CD2626" s="8"/>
    </row>
    <row r="2627" spans="73:82" ht="15.75">
      <c r="BU2627" s="8"/>
      <c r="BZ2627" s="8"/>
      <c r="CD2627" s="8"/>
    </row>
    <row r="2628" spans="73:82" ht="15.75">
      <c r="BU2628" s="8"/>
      <c r="BZ2628" s="8"/>
      <c r="CD2628" s="8"/>
    </row>
    <row r="2629" spans="73:82" ht="15.75">
      <c r="BU2629" s="8"/>
      <c r="BZ2629" s="8"/>
      <c r="CD2629" s="8"/>
    </row>
    <row r="2630" spans="73:82" ht="15.75">
      <c r="BU2630" s="8"/>
      <c r="BZ2630" s="8"/>
      <c r="CD2630" s="8"/>
    </row>
    <row r="2631" spans="73:82" ht="15.75">
      <c r="BU2631" s="8"/>
      <c r="BZ2631" s="8"/>
      <c r="CD2631" s="8"/>
    </row>
    <row r="2632" spans="73:82" ht="15.75">
      <c r="BU2632" s="8"/>
      <c r="BZ2632" s="8"/>
      <c r="CD2632" s="8"/>
    </row>
    <row r="2633" spans="73:82" ht="15.75">
      <c r="BU2633" s="8"/>
      <c r="BZ2633" s="8"/>
      <c r="CD2633" s="8"/>
    </row>
    <row r="2634" spans="73:82" ht="15.75">
      <c r="BU2634" s="8"/>
      <c r="BZ2634" s="8"/>
      <c r="CD2634" s="8"/>
    </row>
    <row r="2635" spans="73:82" ht="15.75">
      <c r="BU2635" s="8"/>
      <c r="BZ2635" s="8"/>
      <c r="CD2635" s="8"/>
    </row>
    <row r="2636" spans="73:82" ht="15.75">
      <c r="BU2636" s="8"/>
      <c r="BZ2636" s="8"/>
      <c r="CD2636" s="8"/>
    </row>
    <row r="2637" spans="73:82" ht="15.75">
      <c r="BU2637" s="8"/>
      <c r="BZ2637" s="8"/>
      <c r="CD2637" s="8"/>
    </row>
    <row r="2638" spans="73:82" ht="15.75">
      <c r="BU2638" s="8"/>
      <c r="BZ2638" s="8"/>
      <c r="CD2638" s="8"/>
    </row>
    <row r="2639" spans="73:82" ht="15.75">
      <c r="BU2639" s="8"/>
      <c r="BZ2639" s="8"/>
      <c r="CD2639" s="8"/>
    </row>
    <row r="2640" spans="73:82" ht="15.75">
      <c r="BU2640" s="8"/>
      <c r="BZ2640" s="8"/>
      <c r="CD2640" s="8"/>
    </row>
    <row r="2641" spans="73:82" ht="15.75">
      <c r="BU2641" s="8"/>
      <c r="BZ2641" s="8"/>
      <c r="CD2641" s="8"/>
    </row>
    <row r="2642" spans="73:82" ht="15.75">
      <c r="BU2642" s="8"/>
      <c r="BZ2642" s="8"/>
      <c r="CD2642" s="8"/>
    </row>
    <row r="2643" spans="73:82" ht="15.75">
      <c r="BU2643" s="8"/>
      <c r="BZ2643" s="8"/>
      <c r="CD2643" s="8"/>
    </row>
    <row r="2644" spans="73:82" ht="15.75">
      <c r="BU2644" s="8"/>
      <c r="BZ2644" s="8"/>
      <c r="CD2644" s="8"/>
    </row>
    <row r="2645" spans="73:82" ht="15.75">
      <c r="BU2645" s="8"/>
      <c r="BZ2645" s="8"/>
      <c r="CD2645" s="8"/>
    </row>
    <row r="2646" spans="73:82" ht="15.75">
      <c r="BU2646" s="8"/>
      <c r="BZ2646" s="8"/>
      <c r="CD2646" s="8"/>
    </row>
    <row r="2647" spans="73:82" ht="15.75">
      <c r="BU2647" s="8"/>
      <c r="BZ2647" s="8"/>
      <c r="CD2647" s="8"/>
    </row>
    <row r="2648" spans="73:82" ht="15.75">
      <c r="BU2648" s="8"/>
      <c r="BZ2648" s="8"/>
      <c r="CD2648" s="8"/>
    </row>
    <row r="2649" spans="73:82" ht="15.75">
      <c r="BU2649" s="8"/>
      <c r="BZ2649" s="8"/>
      <c r="CD2649" s="8"/>
    </row>
    <row r="2650" spans="73:82" ht="15.75">
      <c r="BU2650" s="8"/>
      <c r="BZ2650" s="8"/>
      <c r="CD2650" s="8"/>
    </row>
    <row r="2651" spans="73:82" ht="15.75">
      <c r="BU2651" s="8"/>
      <c r="BZ2651" s="8"/>
      <c r="CD2651" s="8"/>
    </row>
    <row r="2652" spans="73:82" ht="15.75">
      <c r="BU2652" s="8"/>
      <c r="BZ2652" s="8"/>
      <c r="CD2652" s="8"/>
    </row>
    <row r="2653" spans="73:82" ht="15.75">
      <c r="BU2653" s="8"/>
      <c r="BZ2653" s="8"/>
      <c r="CD2653" s="8"/>
    </row>
    <row r="2654" spans="73:82" ht="15.75">
      <c r="BU2654" s="8"/>
      <c r="BZ2654" s="8"/>
      <c r="CD2654" s="8"/>
    </row>
    <row r="2655" spans="73:82" ht="15.75">
      <c r="BU2655" s="8"/>
      <c r="BZ2655" s="8"/>
      <c r="CD2655" s="8"/>
    </row>
    <row r="2656" spans="73:82" ht="15.75">
      <c r="BU2656" s="8"/>
      <c r="BZ2656" s="8"/>
      <c r="CD2656" s="8"/>
    </row>
    <row r="2657" spans="73:82" ht="15.75">
      <c r="BU2657" s="8"/>
      <c r="BZ2657" s="8"/>
      <c r="CD2657" s="8"/>
    </row>
    <row r="2658" spans="73:82" ht="15.75">
      <c r="BU2658" s="8"/>
      <c r="BZ2658" s="8"/>
      <c r="CD2658" s="8"/>
    </row>
    <row r="2659" spans="73:82" ht="15.75">
      <c r="BU2659" s="8"/>
      <c r="BZ2659" s="8"/>
      <c r="CD2659" s="8"/>
    </row>
    <row r="2660" spans="73:82" ht="15.75">
      <c r="BU2660" s="8"/>
      <c r="BZ2660" s="8"/>
      <c r="CD2660" s="8"/>
    </row>
    <row r="2661" spans="73:82" ht="15.75">
      <c r="BU2661" s="8"/>
      <c r="BZ2661" s="8"/>
      <c r="CD2661" s="8"/>
    </row>
    <row r="2662" spans="73:82" ht="15.75">
      <c r="BU2662" s="8"/>
      <c r="BZ2662" s="8"/>
      <c r="CD2662" s="8"/>
    </row>
    <row r="2663" spans="73:82" ht="15.75">
      <c r="BU2663" s="8"/>
      <c r="BZ2663" s="8"/>
      <c r="CD2663" s="8"/>
    </row>
    <row r="2664" spans="73:82" ht="15.75">
      <c r="BU2664" s="8"/>
      <c r="BZ2664" s="8"/>
      <c r="CD2664" s="8"/>
    </row>
    <row r="2665" spans="73:82" ht="15.75">
      <c r="BU2665" s="8"/>
      <c r="BZ2665" s="8"/>
      <c r="CD2665" s="8"/>
    </row>
    <row r="2666" spans="73:82" ht="15.75">
      <c r="BU2666" s="8"/>
      <c r="BZ2666" s="8"/>
      <c r="CD2666" s="8"/>
    </row>
    <row r="2667" spans="73:82" ht="15.75">
      <c r="BU2667" s="8"/>
      <c r="BZ2667" s="8"/>
      <c r="CD2667" s="8"/>
    </row>
    <row r="2668" spans="73:82" ht="15.75">
      <c r="BU2668" s="8"/>
      <c r="BZ2668" s="8"/>
      <c r="CD2668" s="8"/>
    </row>
    <row r="2669" spans="73:82" ht="15.75">
      <c r="BU2669" s="8"/>
      <c r="BZ2669" s="8"/>
      <c r="CD2669" s="8"/>
    </row>
    <row r="2670" spans="73:82" ht="15.75">
      <c r="BU2670" s="8"/>
      <c r="BZ2670" s="8"/>
      <c r="CD2670" s="8"/>
    </row>
    <row r="2671" spans="73:82" ht="15.75">
      <c r="BU2671" s="8"/>
      <c r="BZ2671" s="8"/>
      <c r="CD2671" s="8"/>
    </row>
    <row r="2672" spans="73:82" ht="15.75">
      <c r="BU2672" s="8"/>
      <c r="BZ2672" s="8"/>
      <c r="CD2672" s="8"/>
    </row>
    <row r="2673" spans="73:82" ht="15.75">
      <c r="BU2673" s="8"/>
      <c r="BZ2673" s="8"/>
      <c r="CD2673" s="8"/>
    </row>
    <row r="2674" spans="73:82" ht="15.75">
      <c r="BU2674" s="8"/>
      <c r="BZ2674" s="8"/>
      <c r="CD2674" s="8"/>
    </row>
    <row r="2675" spans="73:82" ht="15.75">
      <c r="BU2675" s="8"/>
      <c r="BZ2675" s="8"/>
      <c r="CD2675" s="8"/>
    </row>
    <row r="2676" spans="73:82" ht="15.75">
      <c r="BU2676" s="8"/>
      <c r="BZ2676" s="8"/>
      <c r="CD2676" s="8"/>
    </row>
    <row r="2677" spans="73:82" ht="15.75">
      <c r="BU2677" s="8"/>
      <c r="BZ2677" s="8"/>
      <c r="CD2677" s="8"/>
    </row>
    <row r="2678" spans="73:82" ht="15.75">
      <c r="BU2678" s="8"/>
      <c r="BZ2678" s="8"/>
      <c r="CD2678" s="8"/>
    </row>
    <row r="2679" spans="73:82" ht="15.75">
      <c r="BU2679" s="8"/>
      <c r="BZ2679" s="8"/>
      <c r="CD2679" s="8"/>
    </row>
    <row r="2680" spans="73:82" ht="15.75">
      <c r="BU2680" s="8"/>
      <c r="BZ2680" s="8"/>
      <c r="CD2680" s="8"/>
    </row>
    <row r="2681" spans="73:82" ht="15.75">
      <c r="BU2681" s="8"/>
      <c r="BZ2681" s="8"/>
      <c r="CD2681" s="8"/>
    </row>
    <row r="2682" spans="73:82" ht="15.75">
      <c r="BU2682" s="8"/>
      <c r="BZ2682" s="8"/>
      <c r="CD2682" s="8"/>
    </row>
    <row r="2683" spans="73:82" ht="15.75">
      <c r="BU2683" s="8"/>
      <c r="BZ2683" s="8"/>
      <c r="CD2683" s="8"/>
    </row>
    <row r="2684" spans="73:82" ht="15.75">
      <c r="BU2684" s="8"/>
      <c r="BZ2684" s="8"/>
      <c r="CD2684" s="8"/>
    </row>
    <row r="2685" spans="73:82" ht="15.75">
      <c r="BU2685" s="8"/>
      <c r="BZ2685" s="8"/>
      <c r="CD2685" s="8"/>
    </row>
    <row r="2686" spans="73:82" ht="15.75">
      <c r="BU2686" s="8"/>
      <c r="BZ2686" s="8"/>
      <c r="CD2686" s="8"/>
    </row>
    <row r="2687" spans="73:82" ht="15.75">
      <c r="BU2687" s="8"/>
      <c r="BZ2687" s="8"/>
      <c r="CD2687" s="8"/>
    </row>
    <row r="2688" spans="73:82" ht="15.75">
      <c r="BU2688" s="8"/>
      <c r="BZ2688" s="8"/>
      <c r="CD2688" s="8"/>
    </row>
    <row r="2689" spans="73:82" ht="15.75">
      <c r="BU2689" s="8"/>
      <c r="BZ2689" s="8"/>
      <c r="CD2689" s="8"/>
    </row>
    <row r="2690" spans="73:82" ht="15.75">
      <c r="BU2690" s="8"/>
      <c r="BZ2690" s="8"/>
      <c r="CD2690" s="8"/>
    </row>
    <row r="2691" spans="73:82" ht="15.75">
      <c r="BU2691" s="8"/>
      <c r="BZ2691" s="8"/>
      <c r="CD2691" s="8"/>
    </row>
    <row r="2692" spans="73:82" ht="15.75">
      <c r="BU2692" s="8"/>
      <c r="BZ2692" s="8"/>
      <c r="CD2692" s="8"/>
    </row>
    <row r="2693" spans="73:82" ht="15.75">
      <c r="BU2693" s="8"/>
      <c r="BZ2693" s="8"/>
      <c r="CD2693" s="8"/>
    </row>
    <row r="2694" spans="73:82" ht="15.75">
      <c r="BU2694" s="8"/>
      <c r="BZ2694" s="8"/>
      <c r="CD2694" s="8"/>
    </row>
    <row r="2695" spans="73:82" ht="15.75">
      <c r="BU2695" s="8"/>
      <c r="BZ2695" s="8"/>
      <c r="CD2695" s="8"/>
    </row>
    <row r="2696" spans="73:82" ht="15.75">
      <c r="BU2696" s="8"/>
      <c r="BZ2696" s="8"/>
      <c r="CD2696" s="8"/>
    </row>
    <row r="2697" spans="73:82" ht="15.75">
      <c r="BU2697" s="8"/>
      <c r="BZ2697" s="8"/>
      <c r="CD2697" s="8"/>
    </row>
    <row r="2698" spans="73:82" ht="15.75">
      <c r="BU2698" s="8"/>
      <c r="BZ2698" s="8"/>
      <c r="CD2698" s="8"/>
    </row>
    <row r="2699" spans="73:82" ht="15.75">
      <c r="BU2699" s="8"/>
      <c r="BZ2699" s="8"/>
      <c r="CD2699" s="8"/>
    </row>
    <row r="2700" spans="73:82" ht="15.75">
      <c r="BU2700" s="8"/>
      <c r="BZ2700" s="8"/>
      <c r="CD2700" s="8"/>
    </row>
    <row r="2701" spans="73:82" ht="15.75">
      <c r="BU2701" s="8"/>
      <c r="BZ2701" s="8"/>
      <c r="CD2701" s="8"/>
    </row>
    <row r="2702" spans="73:82" ht="15.75">
      <c r="BU2702" s="8"/>
      <c r="BZ2702" s="8"/>
      <c r="CD2702" s="8"/>
    </row>
    <row r="2703" spans="73:82" ht="15.75">
      <c r="BU2703" s="8"/>
      <c r="BZ2703" s="8"/>
      <c r="CD2703" s="8"/>
    </row>
    <row r="2704" spans="73:82" ht="15.75">
      <c r="BU2704" s="8"/>
      <c r="BZ2704" s="8"/>
      <c r="CD2704" s="8"/>
    </row>
    <row r="2705" spans="73:82" ht="15.75">
      <c r="BU2705" s="8"/>
      <c r="BZ2705" s="8"/>
      <c r="CD2705" s="8"/>
    </row>
    <row r="2706" spans="73:82" ht="15.75">
      <c r="BU2706" s="8"/>
      <c r="BZ2706" s="8"/>
      <c r="CD2706" s="8"/>
    </row>
    <row r="2707" spans="73:82" ht="15.75">
      <c r="BU2707" s="8"/>
      <c r="BZ2707" s="8"/>
      <c r="CD2707" s="8"/>
    </row>
    <row r="2708" spans="73:82" ht="15.75">
      <c r="BU2708" s="8"/>
      <c r="BZ2708" s="8"/>
      <c r="CD2708" s="8"/>
    </row>
    <row r="2709" spans="73:82" ht="15.75">
      <c r="BU2709" s="8"/>
      <c r="BZ2709" s="8"/>
      <c r="CD2709" s="8"/>
    </row>
    <row r="2710" spans="73:82" ht="15.75">
      <c r="BU2710" s="8"/>
      <c r="BZ2710" s="8"/>
      <c r="CD2710" s="8"/>
    </row>
    <row r="2711" spans="73:82" ht="15.75">
      <c r="BU2711" s="8"/>
      <c r="BZ2711" s="8"/>
      <c r="CD2711" s="8"/>
    </row>
    <row r="2712" spans="73:82" ht="15.75">
      <c r="BU2712" s="8"/>
      <c r="BZ2712" s="8"/>
      <c r="CD2712" s="8"/>
    </row>
    <row r="2713" spans="73:82" ht="15.75">
      <c r="BU2713" s="8"/>
      <c r="BZ2713" s="8"/>
      <c r="CD2713" s="8"/>
    </row>
    <row r="2714" spans="73:82" ht="15.75">
      <c r="BU2714" s="8"/>
      <c r="BZ2714" s="8"/>
      <c r="CD2714" s="8"/>
    </row>
    <row r="2715" spans="73:82" ht="15.75">
      <c r="BU2715" s="8"/>
      <c r="BZ2715" s="8"/>
      <c r="CD2715" s="8"/>
    </row>
    <row r="2716" spans="73:82" ht="15.75">
      <c r="BU2716" s="8"/>
      <c r="BZ2716" s="8"/>
      <c r="CD2716" s="8"/>
    </row>
    <row r="2717" spans="73:82" ht="15.75">
      <c r="BU2717" s="8"/>
      <c r="BZ2717" s="8"/>
      <c r="CD2717" s="8"/>
    </row>
    <row r="2718" spans="73:82" ht="15.75">
      <c r="BU2718" s="8"/>
      <c r="BZ2718" s="8"/>
      <c r="CD2718" s="8"/>
    </row>
    <row r="2719" spans="73:82" ht="15.75">
      <c r="BU2719" s="8"/>
      <c r="BZ2719" s="8"/>
      <c r="CD2719" s="8"/>
    </row>
    <row r="2720" spans="73:82" ht="15.75">
      <c r="BU2720" s="8"/>
      <c r="BZ2720" s="8"/>
      <c r="CD2720" s="8"/>
    </row>
    <row r="2721" spans="73:82" ht="15.75">
      <c r="BU2721" s="8"/>
      <c r="BZ2721" s="8"/>
      <c r="CD2721" s="8"/>
    </row>
    <row r="2722" spans="73:82" ht="15.75">
      <c r="BU2722" s="8"/>
      <c r="BZ2722" s="8"/>
      <c r="CD2722" s="8"/>
    </row>
    <row r="2723" spans="73:82" ht="15.75">
      <c r="BU2723" s="8"/>
      <c r="BZ2723" s="8"/>
      <c r="CD2723" s="8"/>
    </row>
    <row r="2724" spans="73:82" ht="15.75">
      <c r="BU2724" s="8"/>
      <c r="BZ2724" s="8"/>
      <c r="CD2724" s="8"/>
    </row>
    <row r="2725" spans="73:82" ht="15.75">
      <c r="BU2725" s="8"/>
      <c r="BZ2725" s="8"/>
      <c r="CD2725" s="8"/>
    </row>
    <row r="2726" spans="73:82" ht="15.75">
      <c r="BU2726" s="8"/>
      <c r="BZ2726" s="8"/>
      <c r="CD2726" s="8"/>
    </row>
    <row r="2727" spans="73:82" ht="15.75">
      <c r="BU2727" s="8"/>
      <c r="BZ2727" s="8"/>
      <c r="CD2727" s="8"/>
    </row>
    <row r="2728" spans="73:82" ht="15.75">
      <c r="BU2728" s="8"/>
      <c r="BZ2728" s="8"/>
      <c r="CD2728" s="8"/>
    </row>
    <row r="2729" spans="73:82" ht="15.75">
      <c r="BU2729" s="8"/>
      <c r="BZ2729" s="8"/>
      <c r="CD2729" s="8"/>
    </row>
    <row r="2730" spans="73:82" ht="15.75">
      <c r="BU2730" s="8"/>
      <c r="BZ2730" s="8"/>
      <c r="CD2730" s="8"/>
    </row>
    <row r="2731" spans="73:82" ht="15.75">
      <c r="BU2731" s="8"/>
      <c r="BZ2731" s="8"/>
      <c r="CD2731" s="8"/>
    </row>
    <row r="2732" spans="73:82" ht="15.75">
      <c r="BU2732" s="8"/>
      <c r="BZ2732" s="8"/>
      <c r="CD2732" s="8"/>
    </row>
    <row r="2733" spans="73:82" ht="15.75">
      <c r="BU2733" s="8"/>
      <c r="BZ2733" s="8"/>
      <c r="CD2733" s="8"/>
    </row>
    <row r="2734" spans="73:82" ht="15.75">
      <c r="BU2734" s="8"/>
      <c r="BZ2734" s="8"/>
      <c r="CD2734" s="8"/>
    </row>
    <row r="2735" spans="73:82" ht="15.75">
      <c r="BU2735" s="8"/>
      <c r="BZ2735" s="8"/>
      <c r="CD2735" s="8"/>
    </row>
    <row r="2736" spans="73:82" ht="15.75">
      <c r="BU2736" s="8"/>
      <c r="BZ2736" s="8"/>
      <c r="CD2736" s="8"/>
    </row>
    <row r="2737" spans="73:82" ht="15.75">
      <c r="BU2737" s="8"/>
      <c r="BZ2737" s="8"/>
      <c r="CD2737" s="8"/>
    </row>
    <row r="2738" spans="73:82" ht="15.75">
      <c r="BU2738" s="8"/>
      <c r="BZ2738" s="8"/>
      <c r="CD2738" s="8"/>
    </row>
    <row r="2739" spans="73:82" ht="15.75">
      <c r="BU2739" s="8"/>
      <c r="BZ2739" s="8"/>
      <c r="CD2739" s="8"/>
    </row>
    <row r="2740" spans="73:82" ht="15.75">
      <c r="BU2740" s="8"/>
      <c r="BZ2740" s="8"/>
      <c r="CD2740" s="8"/>
    </row>
    <row r="2741" spans="73:82" ht="15.75">
      <c r="BU2741" s="8"/>
      <c r="BZ2741" s="8"/>
      <c r="CD2741" s="8"/>
    </row>
    <row r="2742" spans="73:82" ht="15.75">
      <c r="BU2742" s="8"/>
      <c r="BZ2742" s="8"/>
      <c r="CD2742" s="8"/>
    </row>
    <row r="2743" spans="73:82" ht="15.75">
      <c r="BU2743" s="8"/>
      <c r="BZ2743" s="8"/>
      <c r="CD2743" s="8"/>
    </row>
    <row r="2744" spans="73:82" ht="15.75">
      <c r="BU2744" s="8"/>
      <c r="BZ2744" s="8"/>
      <c r="CD2744" s="8"/>
    </row>
    <row r="2745" spans="73:82" ht="15.75">
      <c r="BU2745" s="8"/>
      <c r="BZ2745" s="8"/>
      <c r="CD2745" s="8"/>
    </row>
    <row r="2746" spans="73:82" ht="15.75">
      <c r="BU2746" s="8"/>
      <c r="BZ2746" s="8"/>
      <c r="CD2746" s="8"/>
    </row>
    <row r="2747" spans="73:82" ht="15.75">
      <c r="BU2747" s="8"/>
      <c r="BZ2747" s="8"/>
      <c r="CD2747" s="8"/>
    </row>
    <row r="2748" spans="73:82" ht="15.75">
      <c r="BU2748" s="8"/>
      <c r="BZ2748" s="8"/>
      <c r="CD2748" s="8"/>
    </row>
    <row r="2749" spans="73:82" ht="15.75">
      <c r="BU2749" s="8"/>
      <c r="BZ2749" s="8"/>
      <c r="CD2749" s="8"/>
    </row>
    <row r="2750" spans="73:82" ht="15.75">
      <c r="BU2750" s="8"/>
      <c r="BZ2750" s="8"/>
      <c r="CD2750" s="8"/>
    </row>
    <row r="2751" spans="73:82" ht="15.75">
      <c r="BU2751" s="8"/>
      <c r="BZ2751" s="8"/>
      <c r="CD2751" s="8"/>
    </row>
    <row r="2752" spans="73:82" ht="15.75">
      <c r="BU2752" s="8"/>
      <c r="BZ2752" s="8"/>
      <c r="CD2752" s="8"/>
    </row>
    <row r="2753" spans="73:82" ht="15.75">
      <c r="BU2753" s="8"/>
      <c r="BZ2753" s="8"/>
      <c r="CD2753" s="8"/>
    </row>
    <row r="2754" spans="73:82" ht="15.75">
      <c r="BU2754" s="8"/>
      <c r="BZ2754" s="8"/>
      <c r="CD2754" s="8"/>
    </row>
    <row r="2755" spans="73:82" ht="15.75">
      <c r="BU2755" s="8"/>
      <c r="BZ2755" s="8"/>
      <c r="CD2755" s="8"/>
    </row>
    <row r="2756" spans="73:82" ht="15.75">
      <c r="BU2756" s="8"/>
      <c r="BZ2756" s="8"/>
      <c r="CD2756" s="8"/>
    </row>
    <row r="2757" spans="73:82" ht="15.75">
      <c r="BU2757" s="8"/>
      <c r="BZ2757" s="8"/>
      <c r="CD2757" s="8"/>
    </row>
    <row r="2758" spans="73:82" ht="15.75">
      <c r="BU2758" s="8"/>
      <c r="BZ2758" s="8"/>
      <c r="CD2758" s="8"/>
    </row>
    <row r="2759" spans="73:82" ht="15.75">
      <c r="BU2759" s="8"/>
      <c r="BZ2759" s="8"/>
      <c r="CD2759" s="8"/>
    </row>
    <row r="2760" spans="73:82" ht="15.75">
      <c r="BU2760" s="8"/>
      <c r="BZ2760" s="8"/>
      <c r="CD2760" s="8"/>
    </row>
    <row r="2761" spans="73:82" ht="15.75">
      <c r="BU2761" s="8"/>
      <c r="BZ2761" s="8"/>
      <c r="CD2761" s="8"/>
    </row>
    <row r="2762" spans="73:82" ht="15.75">
      <c r="BU2762" s="8"/>
      <c r="BZ2762" s="8"/>
      <c r="CD2762" s="8"/>
    </row>
    <row r="2763" spans="73:82" ht="15.75">
      <c r="BU2763" s="8"/>
      <c r="BZ2763" s="8"/>
      <c r="CD2763" s="8"/>
    </row>
    <row r="2764" spans="73:82" ht="15.75">
      <c r="BU2764" s="8"/>
      <c r="BZ2764" s="8"/>
      <c r="CD2764" s="8"/>
    </row>
    <row r="2765" spans="73:82" ht="15.75">
      <c r="BU2765" s="8"/>
      <c r="BZ2765" s="8"/>
      <c r="CD2765" s="8"/>
    </row>
    <row r="2766" spans="73:82" ht="15.75">
      <c r="BU2766" s="8"/>
      <c r="BZ2766" s="8"/>
      <c r="CD2766" s="8"/>
    </row>
    <row r="2767" spans="73:82" ht="15.75">
      <c r="BU2767" s="8"/>
      <c r="BZ2767" s="8"/>
      <c r="CD2767" s="8"/>
    </row>
    <row r="2768" spans="73:82" ht="15.75">
      <c r="BU2768" s="8"/>
      <c r="BZ2768" s="8"/>
      <c r="CD2768" s="8"/>
    </row>
    <row r="2769" spans="73:82" ht="15.75">
      <c r="BU2769" s="8"/>
      <c r="BZ2769" s="8"/>
      <c r="CD2769" s="8"/>
    </row>
    <row r="2770" spans="73:82" ht="15.75">
      <c r="BU2770" s="8"/>
      <c r="BZ2770" s="8"/>
      <c r="CD2770" s="8"/>
    </row>
    <row r="2771" spans="73:82" ht="15.75">
      <c r="BU2771" s="8"/>
      <c r="BZ2771" s="8"/>
      <c r="CD2771" s="8"/>
    </row>
    <row r="2772" spans="73:82" ht="15.75">
      <c r="BU2772" s="8"/>
      <c r="BZ2772" s="8"/>
      <c r="CD2772" s="8"/>
    </row>
    <row r="2773" spans="73:82" ht="15.75">
      <c r="BU2773" s="8"/>
      <c r="BZ2773" s="8"/>
      <c r="CD2773" s="8"/>
    </row>
    <row r="2774" spans="73:82" ht="15.75">
      <c r="BU2774" s="8"/>
      <c r="BZ2774" s="8"/>
      <c r="CD2774" s="8"/>
    </row>
    <row r="2775" spans="73:82" ht="15.75">
      <c r="BU2775" s="8"/>
      <c r="BZ2775" s="8"/>
      <c r="CD2775" s="8"/>
    </row>
    <row r="2776" spans="73:82" ht="15.75">
      <c r="BU2776" s="8"/>
      <c r="BZ2776" s="8"/>
      <c r="CD2776" s="8"/>
    </row>
    <row r="2777" spans="73:82" ht="15.75">
      <c r="BU2777" s="8"/>
      <c r="BZ2777" s="8"/>
      <c r="CD2777" s="8"/>
    </row>
    <row r="2778" spans="73:82" ht="15.75">
      <c r="BU2778" s="8"/>
      <c r="BZ2778" s="8"/>
      <c r="CD2778" s="8"/>
    </row>
    <row r="2779" spans="73:82" ht="15.75">
      <c r="BU2779" s="8"/>
      <c r="BZ2779" s="8"/>
      <c r="CD2779" s="8"/>
    </row>
    <row r="2780" spans="73:82" ht="15.75">
      <c r="BU2780" s="8"/>
      <c r="BZ2780" s="8"/>
      <c r="CD2780" s="8"/>
    </row>
    <row r="2781" spans="73:82" ht="15.75">
      <c r="BU2781" s="8"/>
      <c r="BZ2781" s="8"/>
      <c r="CD2781" s="8"/>
    </row>
    <row r="2782" spans="73:82" ht="15.75">
      <c r="BU2782" s="8"/>
      <c r="BZ2782" s="8"/>
      <c r="CD2782" s="8"/>
    </row>
    <row r="2783" spans="73:82" ht="15.75">
      <c r="BU2783" s="8"/>
      <c r="BZ2783" s="8"/>
      <c r="CD2783" s="8"/>
    </row>
    <row r="2784" spans="73:82" ht="15.75">
      <c r="BU2784" s="8"/>
      <c r="BZ2784" s="8"/>
      <c r="CD2784" s="8"/>
    </row>
    <row r="2785" spans="73:82" ht="15.75">
      <c r="BU2785" s="8"/>
      <c r="BZ2785" s="8"/>
      <c r="CD2785" s="8"/>
    </row>
    <row r="2786" spans="73:82" ht="15.75">
      <c r="BU2786" s="8"/>
      <c r="BZ2786" s="8"/>
      <c r="CD2786" s="8"/>
    </row>
    <row r="2787" spans="73:82" ht="15.75">
      <c r="BU2787" s="8"/>
      <c r="BZ2787" s="8"/>
      <c r="CD2787" s="8"/>
    </row>
    <row r="2788" spans="73:82" ht="15.75">
      <c r="BU2788" s="8"/>
      <c r="BZ2788" s="8"/>
      <c r="CD2788" s="8"/>
    </row>
    <row r="2789" spans="73:82" ht="15.75">
      <c r="BU2789" s="8"/>
      <c r="BZ2789" s="8"/>
      <c r="CD2789" s="8"/>
    </row>
    <row r="2790" spans="73:82" ht="15.75">
      <c r="BU2790" s="8"/>
      <c r="BZ2790" s="8"/>
      <c r="CD2790" s="8"/>
    </row>
    <row r="2791" spans="73:82" ht="15.75">
      <c r="BU2791" s="8"/>
      <c r="BZ2791" s="8"/>
      <c r="CD2791" s="8"/>
    </row>
    <row r="2792" spans="73:82" ht="15.75">
      <c r="BU2792" s="8"/>
      <c r="BZ2792" s="8"/>
      <c r="CD2792" s="8"/>
    </row>
    <row r="2793" spans="73:82" ht="15.75">
      <c r="BU2793" s="8"/>
      <c r="BZ2793" s="8"/>
      <c r="CD2793" s="8"/>
    </row>
    <row r="2794" spans="73:82" ht="15.75">
      <c r="BU2794" s="8"/>
      <c r="BZ2794" s="8"/>
      <c r="CD2794" s="8"/>
    </row>
    <row r="2795" spans="73:82" ht="15.75">
      <c r="BU2795" s="8"/>
      <c r="BZ2795" s="8"/>
      <c r="CD2795" s="8"/>
    </row>
    <row r="2796" spans="73:82" ht="15.75">
      <c r="BU2796" s="8"/>
      <c r="BZ2796" s="8"/>
      <c r="CD2796" s="8"/>
    </row>
    <row r="2797" spans="73:82" ht="15.75">
      <c r="BU2797" s="8"/>
      <c r="BZ2797" s="8"/>
      <c r="CD2797" s="8"/>
    </row>
    <row r="2798" spans="73:82" ht="15.75">
      <c r="BU2798" s="8"/>
      <c r="BZ2798" s="8"/>
      <c r="CD2798" s="8"/>
    </row>
    <row r="2799" spans="73:82" ht="15.75">
      <c r="BU2799" s="8"/>
      <c r="BZ2799" s="8"/>
      <c r="CD2799" s="8"/>
    </row>
    <row r="2800" spans="73:82" ht="15.75">
      <c r="BU2800" s="8"/>
      <c r="BZ2800" s="8"/>
      <c r="CD2800" s="8"/>
    </row>
    <row r="2801" spans="73:82" ht="15.75">
      <c r="BU2801" s="8"/>
      <c r="BZ2801" s="8"/>
      <c r="CD2801" s="8"/>
    </row>
    <row r="2802" spans="73:82" ht="15.75">
      <c r="BU2802" s="8"/>
      <c r="BZ2802" s="8"/>
      <c r="CD2802" s="8"/>
    </row>
    <row r="2803" spans="73:82" ht="15.75">
      <c r="BU2803" s="8"/>
      <c r="BZ2803" s="8"/>
      <c r="CD2803" s="8"/>
    </row>
    <row r="2804" spans="73:82" ht="15.75">
      <c r="BU2804" s="8"/>
      <c r="BZ2804" s="8"/>
      <c r="CD2804" s="8"/>
    </row>
    <row r="2805" spans="73:82" ht="15.75">
      <c r="BU2805" s="8"/>
      <c r="BZ2805" s="8"/>
      <c r="CD2805" s="8"/>
    </row>
    <row r="2806" spans="73:82" ht="15.75">
      <c r="BU2806" s="8"/>
      <c r="BZ2806" s="8"/>
      <c r="CD2806" s="8"/>
    </row>
    <row r="2807" spans="73:82" ht="15.75">
      <c r="BU2807" s="8"/>
      <c r="BZ2807" s="8"/>
      <c r="CD2807" s="8"/>
    </row>
    <row r="2808" spans="73:82" ht="15.75">
      <c r="BU2808" s="8"/>
      <c r="BZ2808" s="8"/>
      <c r="CD2808" s="8"/>
    </row>
    <row r="2809" spans="73:82" ht="15.75">
      <c r="BU2809" s="8"/>
      <c r="BZ2809" s="8"/>
      <c r="CD2809" s="8"/>
    </row>
    <row r="2810" spans="73:82" ht="15.75">
      <c r="BU2810" s="8"/>
      <c r="BZ2810" s="8"/>
      <c r="CD2810" s="8"/>
    </row>
    <row r="2811" spans="73:82" ht="15.75">
      <c r="BU2811" s="8"/>
      <c r="BZ2811" s="8"/>
      <c r="CD2811" s="8"/>
    </row>
    <row r="2812" spans="73:82" ht="15.75">
      <c r="BU2812" s="8"/>
      <c r="BZ2812" s="8"/>
      <c r="CD2812" s="8"/>
    </row>
    <row r="2813" spans="73:82" ht="15.75">
      <c r="BU2813" s="8"/>
      <c r="BZ2813" s="8"/>
      <c r="CD2813" s="8"/>
    </row>
    <row r="2814" spans="73:82" ht="15.75">
      <c r="BU2814" s="8"/>
      <c r="BZ2814" s="8"/>
      <c r="CD2814" s="8"/>
    </row>
    <row r="2815" spans="73:82" ht="15.75">
      <c r="BU2815" s="8"/>
      <c r="BZ2815" s="8"/>
      <c r="CD2815" s="8"/>
    </row>
    <row r="2816" spans="73:82" ht="15.75">
      <c r="BU2816" s="8"/>
      <c r="BZ2816" s="8"/>
      <c r="CD2816" s="8"/>
    </row>
    <row r="2817" spans="73:82" ht="15.75">
      <c r="BU2817" s="8"/>
      <c r="BZ2817" s="8"/>
      <c r="CD2817" s="8"/>
    </row>
    <row r="2818" spans="73:82" ht="15.75">
      <c r="BU2818" s="8"/>
      <c r="BZ2818" s="8"/>
      <c r="CD2818" s="8"/>
    </row>
    <row r="2819" spans="73:82" ht="15.75">
      <c r="BU2819" s="8"/>
      <c r="BZ2819" s="8"/>
      <c r="CD2819" s="8"/>
    </row>
    <row r="2820" spans="73:82" ht="15.75">
      <c r="BU2820" s="8"/>
      <c r="BZ2820" s="8"/>
      <c r="CD2820" s="8"/>
    </row>
    <row r="2821" spans="73:82" ht="15.75">
      <c r="BU2821" s="8"/>
      <c r="BZ2821" s="8"/>
      <c r="CD2821" s="8"/>
    </row>
    <row r="2822" spans="73:82" ht="15.75">
      <c r="BU2822" s="8"/>
      <c r="BZ2822" s="8"/>
      <c r="CD2822" s="8"/>
    </row>
    <row r="2823" spans="73:82" ht="15.75">
      <c r="BU2823" s="8"/>
      <c r="BZ2823" s="8"/>
      <c r="CD2823" s="8"/>
    </row>
    <row r="2824" spans="73:82" ht="15.75">
      <c r="BU2824" s="8"/>
      <c r="BZ2824" s="8"/>
      <c r="CD2824" s="8"/>
    </row>
    <row r="2825" spans="73:82" ht="15.75">
      <c r="BU2825" s="8"/>
      <c r="BZ2825" s="8"/>
      <c r="CD2825" s="8"/>
    </row>
    <row r="2826" spans="73:82" ht="15.75">
      <c r="BU2826" s="8"/>
      <c r="BZ2826" s="8"/>
      <c r="CD2826" s="8"/>
    </row>
    <row r="2827" spans="73:82" ht="15.75">
      <c r="BU2827" s="8"/>
      <c r="BZ2827" s="8"/>
      <c r="CD2827" s="8"/>
    </row>
    <row r="2828" spans="73:82" ht="15.75">
      <c r="BU2828" s="8"/>
      <c r="BZ2828" s="8"/>
      <c r="CD2828" s="8"/>
    </row>
    <row r="2829" spans="73:82" ht="15.75">
      <c r="BU2829" s="8"/>
      <c r="BZ2829" s="8"/>
      <c r="CD2829" s="8"/>
    </row>
    <row r="2830" spans="73:82" ht="15.75">
      <c r="BU2830" s="8"/>
      <c r="BZ2830" s="8"/>
      <c r="CD2830" s="8"/>
    </row>
    <row r="2831" spans="73:82" ht="15.75">
      <c r="BU2831" s="8"/>
      <c r="BZ2831" s="8"/>
      <c r="CD2831" s="8"/>
    </row>
    <row r="2832" spans="73:82" ht="15.75">
      <c r="BU2832" s="8"/>
      <c r="BZ2832" s="8"/>
      <c r="CD2832" s="8"/>
    </row>
    <row r="2833" spans="73:82" ht="15.75">
      <c r="BU2833" s="8"/>
      <c r="BZ2833" s="8"/>
      <c r="CD2833" s="8"/>
    </row>
    <row r="2834" spans="73:82" ht="15.75">
      <c r="BU2834" s="8"/>
      <c r="BZ2834" s="8"/>
      <c r="CD2834" s="8"/>
    </row>
    <row r="2835" spans="73:82" ht="15.75">
      <c r="BU2835" s="8"/>
      <c r="BZ2835" s="8"/>
      <c r="CD2835" s="8"/>
    </row>
    <row r="2836" spans="73:82" ht="15.75">
      <c r="BU2836" s="8"/>
      <c r="BZ2836" s="8"/>
      <c r="CD2836" s="8"/>
    </row>
    <row r="2837" spans="73:82" ht="15.75">
      <c r="BU2837" s="8"/>
      <c r="BZ2837" s="8"/>
      <c r="CD2837" s="8"/>
    </row>
    <row r="2838" spans="73:82" ht="15.75">
      <c r="BU2838" s="8"/>
      <c r="BZ2838" s="8"/>
      <c r="CD2838" s="8"/>
    </row>
    <row r="2839" spans="73:82" ht="15.75">
      <c r="BU2839" s="8"/>
      <c r="BZ2839" s="8"/>
      <c r="CD2839" s="8"/>
    </row>
    <row r="2840" spans="73:82" ht="15.75">
      <c r="BU2840" s="8"/>
      <c r="BZ2840" s="8"/>
      <c r="CD2840" s="8"/>
    </row>
    <row r="2841" spans="73:82" ht="15.75">
      <c r="BU2841" s="8"/>
      <c r="BZ2841" s="8"/>
      <c r="CD2841" s="8"/>
    </row>
    <row r="2842" spans="73:82" ht="15.75">
      <c r="BU2842" s="8"/>
      <c r="BZ2842" s="8"/>
      <c r="CD2842" s="8"/>
    </row>
    <row r="2843" spans="73:82" ht="15.75">
      <c r="BU2843" s="8"/>
      <c r="BZ2843" s="8"/>
      <c r="CD2843" s="8"/>
    </row>
    <row r="2844" spans="73:82" ht="15.75">
      <c r="BU2844" s="8"/>
      <c r="BZ2844" s="8"/>
      <c r="CD2844" s="8"/>
    </row>
    <row r="2845" spans="73:82" ht="15.75">
      <c r="BU2845" s="8"/>
      <c r="BZ2845" s="8"/>
      <c r="CD2845" s="8"/>
    </row>
    <row r="2846" spans="73:82" ht="15.75">
      <c r="BU2846" s="8"/>
      <c r="BZ2846" s="8"/>
      <c r="CD2846" s="8"/>
    </row>
    <row r="2847" spans="73:82" ht="15.75">
      <c r="BU2847" s="8"/>
      <c r="BZ2847" s="8"/>
      <c r="CD2847" s="8"/>
    </row>
    <row r="2848" spans="73:82" ht="15.75">
      <c r="BU2848" s="8"/>
      <c r="BZ2848" s="8"/>
      <c r="CD2848" s="8"/>
    </row>
    <row r="2849" spans="73:82" ht="15.75">
      <c r="BU2849" s="8"/>
      <c r="BZ2849" s="8"/>
      <c r="CD2849" s="8"/>
    </row>
    <row r="2850" spans="73:82" ht="15.75">
      <c r="BU2850" s="8"/>
      <c r="BZ2850" s="8"/>
      <c r="CD2850" s="8"/>
    </row>
    <row r="2851" spans="73:82" ht="15.75">
      <c r="BU2851" s="8"/>
      <c r="BZ2851" s="8"/>
      <c r="CD2851" s="8"/>
    </row>
    <row r="2852" spans="73:82" ht="15.75">
      <c r="BU2852" s="8"/>
      <c r="BZ2852" s="8"/>
      <c r="CD2852" s="8"/>
    </row>
    <row r="2853" spans="73:82" ht="15.75">
      <c r="BU2853" s="8"/>
      <c r="BZ2853" s="8"/>
      <c r="CD2853" s="8"/>
    </row>
    <row r="2854" spans="73:82" ht="15.75">
      <c r="BU2854" s="8"/>
      <c r="BZ2854" s="8"/>
      <c r="CD2854" s="8"/>
    </row>
    <row r="2855" spans="73:82" ht="15.75">
      <c r="BU2855" s="8"/>
      <c r="BZ2855" s="8"/>
      <c r="CD2855" s="8"/>
    </row>
    <row r="2856" spans="73:82" ht="15.75">
      <c r="BU2856" s="8"/>
      <c r="BZ2856" s="8"/>
      <c r="CD2856" s="8"/>
    </row>
    <row r="2857" spans="73:82" ht="15.75">
      <c r="BU2857" s="8"/>
      <c r="BZ2857" s="8"/>
      <c r="CD2857" s="8"/>
    </row>
    <row r="2858" spans="73:82" ht="15.75">
      <c r="BU2858" s="8"/>
      <c r="BZ2858" s="8"/>
      <c r="CD2858" s="8"/>
    </row>
    <row r="2859" spans="73:82" ht="15.75">
      <c r="BU2859" s="8"/>
      <c r="BZ2859" s="8"/>
      <c r="CD2859" s="8"/>
    </row>
    <row r="2860" spans="73:82" ht="15.75">
      <c r="BU2860" s="8"/>
      <c r="BZ2860" s="8"/>
      <c r="CD2860" s="8"/>
    </row>
    <row r="2861" spans="73:82" ht="15.75">
      <c r="BU2861" s="8"/>
      <c r="BZ2861" s="8"/>
      <c r="CD2861" s="8"/>
    </row>
    <row r="2862" spans="73:82" ht="15.75">
      <c r="BU2862" s="8"/>
      <c r="BZ2862" s="8"/>
      <c r="CD2862" s="8"/>
    </row>
    <row r="2863" spans="73:82" ht="15.75">
      <c r="BU2863" s="8"/>
      <c r="BZ2863" s="8"/>
      <c r="CD2863" s="8"/>
    </row>
    <row r="2864" spans="73:82" ht="15.75">
      <c r="BU2864" s="8"/>
      <c r="BZ2864" s="8"/>
      <c r="CD2864" s="8"/>
    </row>
    <row r="2865" spans="73:82" ht="15.75">
      <c r="BU2865" s="8"/>
      <c r="BZ2865" s="8"/>
      <c r="CD2865" s="8"/>
    </row>
    <row r="2866" spans="73:82" ht="15.75">
      <c r="BU2866" s="8"/>
      <c r="BZ2866" s="8"/>
      <c r="CD2866" s="8"/>
    </row>
    <row r="2867" spans="73:82" ht="15.75">
      <c r="BU2867" s="8"/>
      <c r="BZ2867" s="8"/>
      <c r="CD2867" s="8"/>
    </row>
    <row r="2868" spans="73:82" ht="15.75">
      <c r="BU2868" s="8"/>
      <c r="BZ2868" s="8"/>
      <c r="CD2868" s="8"/>
    </row>
    <row r="2869" spans="73:82" ht="15.75">
      <c r="BU2869" s="8"/>
      <c r="BZ2869" s="8"/>
      <c r="CD2869" s="8"/>
    </row>
    <row r="2870" spans="73:82" ht="15.75">
      <c r="BU2870" s="8"/>
      <c r="BZ2870" s="8"/>
      <c r="CD2870" s="8"/>
    </row>
    <row r="2871" spans="73:82" ht="15.75">
      <c r="BU2871" s="8"/>
      <c r="BZ2871" s="8"/>
      <c r="CD2871" s="8"/>
    </row>
    <row r="2872" spans="73:82" ht="15.75">
      <c r="BU2872" s="8"/>
      <c r="BZ2872" s="8"/>
      <c r="CD2872" s="8"/>
    </row>
    <row r="2873" spans="73:82" ht="15.75">
      <c r="BU2873" s="8"/>
      <c r="BZ2873" s="8"/>
      <c r="CD2873" s="8"/>
    </row>
    <row r="2874" spans="73:82" ht="15.75">
      <c r="BU2874" s="8"/>
      <c r="BZ2874" s="8"/>
      <c r="CD2874" s="8"/>
    </row>
    <row r="2875" spans="73:82" ht="15.75">
      <c r="BU2875" s="8"/>
      <c r="BZ2875" s="8"/>
      <c r="CD2875" s="8"/>
    </row>
    <row r="2876" spans="73:82" ht="15.75">
      <c r="BU2876" s="8"/>
      <c r="BZ2876" s="8"/>
      <c r="CD2876" s="8"/>
    </row>
    <row r="2877" spans="73:82" ht="15.75">
      <c r="BU2877" s="8"/>
      <c r="BZ2877" s="8"/>
      <c r="CD2877" s="8"/>
    </row>
    <row r="2878" spans="73:82" ht="15.75">
      <c r="BU2878" s="8"/>
      <c r="BZ2878" s="8"/>
      <c r="CD2878" s="8"/>
    </row>
    <row r="2879" spans="73:82" ht="15.75">
      <c r="BU2879" s="8"/>
      <c r="BZ2879" s="8"/>
      <c r="CD2879" s="8"/>
    </row>
    <row r="2880" spans="73:82" ht="15.75">
      <c r="BU2880" s="8"/>
      <c r="BZ2880" s="8"/>
      <c r="CD2880" s="8"/>
    </row>
    <row r="2881" spans="73:82" ht="15.75">
      <c r="BU2881" s="8"/>
      <c r="BZ2881" s="8"/>
      <c r="CD2881" s="8"/>
    </row>
    <row r="2882" spans="73:82" ht="15.75">
      <c r="BU2882" s="8"/>
      <c r="BZ2882" s="8"/>
      <c r="CD2882" s="8"/>
    </row>
    <row r="2883" spans="73:82" ht="15.75">
      <c r="BU2883" s="8"/>
      <c r="BZ2883" s="8"/>
      <c r="CD2883" s="8"/>
    </row>
    <row r="2884" spans="73:82" ht="15.75">
      <c r="BU2884" s="8"/>
      <c r="BZ2884" s="8"/>
      <c r="CD2884" s="8"/>
    </row>
    <row r="2885" spans="73:82" ht="15.75">
      <c r="BU2885" s="8"/>
      <c r="BZ2885" s="8"/>
      <c r="CD2885" s="8"/>
    </row>
    <row r="2886" spans="73:82" ht="15.75">
      <c r="BU2886" s="8"/>
      <c r="BZ2886" s="8"/>
      <c r="CD2886" s="8"/>
    </row>
    <row r="2887" spans="73:82" ht="15.75">
      <c r="BU2887" s="8"/>
      <c r="BZ2887" s="8"/>
      <c r="CD2887" s="8"/>
    </row>
    <row r="2888" spans="73:82" ht="15.75">
      <c r="BU2888" s="8"/>
      <c r="BZ2888" s="8"/>
      <c r="CD2888" s="8"/>
    </row>
    <row r="2889" spans="73:82" ht="15.75">
      <c r="BU2889" s="8"/>
      <c r="BZ2889" s="8"/>
      <c r="CD2889" s="8"/>
    </row>
    <row r="2890" spans="73:82" ht="15.75">
      <c r="BU2890" s="8"/>
      <c r="BZ2890" s="8"/>
      <c r="CD2890" s="8"/>
    </row>
    <row r="2891" spans="73:82" ht="15.75">
      <c r="BU2891" s="8"/>
      <c r="BZ2891" s="8"/>
      <c r="CD2891" s="8"/>
    </row>
    <row r="2892" spans="73:82" ht="15.75">
      <c r="BU2892" s="8"/>
      <c r="BZ2892" s="8"/>
      <c r="CD2892" s="8"/>
    </row>
    <row r="2893" spans="73:82" ht="15.75">
      <c r="BU2893" s="8"/>
      <c r="BZ2893" s="8"/>
      <c r="CD2893" s="8"/>
    </row>
    <row r="2894" spans="73:82" ht="15.75">
      <c r="BU2894" s="8"/>
      <c r="BZ2894" s="8"/>
      <c r="CD2894" s="8"/>
    </row>
    <row r="2895" spans="73:82" ht="15.75">
      <c r="BU2895" s="8"/>
      <c r="BZ2895" s="8"/>
      <c r="CD2895" s="8"/>
    </row>
    <row r="2896" spans="73:82" ht="15.75">
      <c r="BU2896" s="8"/>
      <c r="BZ2896" s="8"/>
      <c r="CD2896" s="8"/>
    </row>
    <row r="2897" spans="73:82" ht="15.75">
      <c r="BU2897" s="8"/>
      <c r="BZ2897" s="8"/>
      <c r="CD2897" s="8"/>
    </row>
    <row r="2898" spans="73:82" ht="15.75">
      <c r="BU2898" s="8"/>
      <c r="BZ2898" s="8"/>
      <c r="CD2898" s="8"/>
    </row>
    <row r="2899" spans="73:82" ht="15.75">
      <c r="BU2899" s="8"/>
      <c r="BZ2899" s="8"/>
      <c r="CD2899" s="8"/>
    </row>
    <row r="2900" spans="73:82" ht="15.75">
      <c r="BU2900" s="8"/>
      <c r="BZ2900" s="8"/>
      <c r="CD2900" s="8"/>
    </row>
    <row r="2901" spans="73:82" ht="15.75">
      <c r="BU2901" s="8"/>
      <c r="BZ2901" s="8"/>
      <c r="CD2901" s="8"/>
    </row>
    <row r="2902" spans="73:82" ht="15.75">
      <c r="BU2902" s="8"/>
      <c r="BZ2902" s="8"/>
      <c r="CD2902" s="8"/>
    </row>
    <row r="2903" spans="73:82" ht="15.75">
      <c r="BU2903" s="8"/>
      <c r="BZ2903" s="8"/>
      <c r="CD2903" s="8"/>
    </row>
    <row r="2904" spans="73:82" ht="15.75">
      <c r="BU2904" s="8"/>
      <c r="BZ2904" s="8"/>
      <c r="CD2904" s="8"/>
    </row>
    <row r="2905" spans="73:82" ht="15.75">
      <c r="BU2905" s="8"/>
      <c r="BZ2905" s="8"/>
      <c r="CD2905" s="8"/>
    </row>
    <row r="2906" spans="73:82" ht="15.75">
      <c r="BU2906" s="8"/>
      <c r="BZ2906" s="8"/>
      <c r="CD2906" s="8"/>
    </row>
    <row r="2907" spans="73:82" ht="15.75">
      <c r="BU2907" s="8"/>
      <c r="BZ2907" s="8"/>
      <c r="CD2907" s="8"/>
    </row>
    <row r="2908" spans="73:82" ht="15.75">
      <c r="BU2908" s="8"/>
      <c r="BZ2908" s="8"/>
      <c r="CD2908" s="8"/>
    </row>
    <row r="2909" spans="73:82" ht="15.75">
      <c r="BU2909" s="8"/>
      <c r="BZ2909" s="8"/>
      <c r="CD2909" s="8"/>
    </row>
    <row r="2910" spans="73:82" ht="15.75">
      <c r="BU2910" s="8"/>
      <c r="BZ2910" s="8"/>
      <c r="CD2910" s="8"/>
    </row>
    <row r="2911" spans="73:82" ht="15.75">
      <c r="BU2911" s="8"/>
      <c r="BZ2911" s="8"/>
      <c r="CD2911" s="8"/>
    </row>
    <row r="2912" spans="73:82" ht="15.75">
      <c r="BU2912" s="8"/>
      <c r="BZ2912" s="8"/>
      <c r="CD2912" s="8"/>
    </row>
    <row r="2913" spans="73:82" ht="15.75">
      <c r="BU2913" s="8"/>
      <c r="BZ2913" s="8"/>
      <c r="CD2913" s="8"/>
    </row>
    <row r="2914" spans="73:82" ht="15.75">
      <c r="BU2914" s="8"/>
      <c r="BZ2914" s="8"/>
      <c r="CD2914" s="8"/>
    </row>
    <row r="2915" spans="73:82" ht="15.75">
      <c r="BU2915" s="8"/>
      <c r="BZ2915" s="8"/>
      <c r="CD2915" s="8"/>
    </row>
    <row r="2916" spans="73:82" ht="15.75">
      <c r="BU2916" s="8"/>
      <c r="BZ2916" s="8"/>
      <c r="CD2916" s="8"/>
    </row>
    <row r="2917" spans="73:82" ht="15.75">
      <c r="BU2917" s="8"/>
      <c r="BZ2917" s="8"/>
      <c r="CD2917" s="8"/>
    </row>
    <row r="2918" spans="73:82" ht="15.75">
      <c r="BU2918" s="8"/>
      <c r="BZ2918" s="8"/>
      <c r="CD2918" s="8"/>
    </row>
    <row r="2919" spans="73:82" ht="15.75">
      <c r="BU2919" s="8"/>
      <c r="BZ2919" s="8"/>
      <c r="CD2919" s="8"/>
    </row>
    <row r="2920" spans="73:82" ht="15.75">
      <c r="BU2920" s="8"/>
      <c r="BZ2920" s="8"/>
      <c r="CD2920" s="8"/>
    </row>
    <row r="2921" spans="73:82" ht="15.75">
      <c r="BU2921" s="8"/>
      <c r="BZ2921" s="8"/>
      <c r="CD2921" s="8"/>
    </row>
    <row r="2922" spans="73:82" ht="15.75">
      <c r="BU2922" s="8"/>
      <c r="BZ2922" s="8"/>
      <c r="CD2922" s="8"/>
    </row>
    <row r="2923" spans="73:82" ht="15.75">
      <c r="BU2923" s="8"/>
      <c r="BZ2923" s="8"/>
      <c r="CD2923" s="8"/>
    </row>
    <row r="2924" spans="73:82" ht="15.75">
      <c r="BU2924" s="8"/>
      <c r="BZ2924" s="8"/>
      <c r="CD2924" s="8"/>
    </row>
    <row r="2925" spans="73:82" ht="15.75">
      <c r="BU2925" s="8"/>
      <c r="BZ2925" s="8"/>
      <c r="CD2925" s="8"/>
    </row>
    <row r="2926" spans="73:82" ht="15.75">
      <c r="BU2926" s="8"/>
      <c r="BZ2926" s="8"/>
      <c r="CD2926" s="8"/>
    </row>
    <row r="2927" spans="73:82" ht="15.75">
      <c r="BU2927" s="8"/>
      <c r="BZ2927" s="8"/>
      <c r="CD2927" s="8"/>
    </row>
    <row r="2928" spans="73:82" ht="15.75">
      <c r="BU2928" s="8"/>
      <c r="BZ2928" s="8"/>
      <c r="CD2928" s="8"/>
    </row>
    <row r="2929" spans="73:82" ht="15.75">
      <c r="BU2929" s="8"/>
      <c r="BZ2929" s="8"/>
      <c r="CD2929" s="8"/>
    </row>
    <row r="2930" spans="73:82" ht="15.75">
      <c r="BU2930" s="8"/>
      <c r="BZ2930" s="8"/>
      <c r="CD2930" s="8"/>
    </row>
    <row r="2931" spans="73:82" ht="15.75">
      <c r="BU2931" s="8"/>
      <c r="BZ2931" s="8"/>
      <c r="CD2931" s="8"/>
    </row>
    <row r="2932" spans="73:82" ht="15.75">
      <c r="BU2932" s="8"/>
      <c r="BZ2932" s="8"/>
      <c r="CD2932" s="8"/>
    </row>
    <row r="2933" spans="73:82" ht="15.75">
      <c r="BU2933" s="8"/>
      <c r="BZ2933" s="8"/>
      <c r="CD2933" s="8"/>
    </row>
    <row r="2934" spans="73:82" ht="15.75">
      <c r="BU2934" s="8"/>
      <c r="BZ2934" s="8"/>
      <c r="CD2934" s="8"/>
    </row>
    <row r="2935" spans="73:82" ht="15.75">
      <c r="BU2935" s="8"/>
      <c r="BZ2935" s="8"/>
      <c r="CD2935" s="8"/>
    </row>
    <row r="2936" spans="73:82" ht="15.75">
      <c r="BU2936" s="8"/>
      <c r="BZ2936" s="8"/>
      <c r="CD2936" s="8"/>
    </row>
    <row r="2937" spans="73:82" ht="15.75">
      <c r="BU2937" s="8"/>
      <c r="BZ2937" s="8"/>
      <c r="CD2937" s="8"/>
    </row>
    <row r="2938" spans="73:82" ht="15.75">
      <c r="BU2938" s="8"/>
      <c r="BZ2938" s="8"/>
      <c r="CD2938" s="8"/>
    </row>
    <row r="2939" spans="73:82" ht="15.75">
      <c r="BU2939" s="8"/>
      <c r="BZ2939" s="8"/>
      <c r="CD2939" s="8"/>
    </row>
    <row r="2940" spans="73:82" ht="15.75">
      <c r="BU2940" s="8"/>
      <c r="BZ2940" s="8"/>
      <c r="CD2940" s="8"/>
    </row>
    <row r="2941" spans="73:82" ht="15.75">
      <c r="BU2941" s="8"/>
      <c r="BZ2941" s="8"/>
      <c r="CD2941" s="8"/>
    </row>
    <row r="2942" spans="73:82" ht="15.75">
      <c r="BU2942" s="8"/>
      <c r="BZ2942" s="8"/>
      <c r="CD2942" s="8"/>
    </row>
    <row r="2943" spans="73:82" ht="15.75">
      <c r="BU2943" s="8"/>
      <c r="BZ2943" s="8"/>
      <c r="CD2943" s="8"/>
    </row>
    <row r="2944" spans="73:82" ht="15.75">
      <c r="BU2944" s="8"/>
      <c r="BZ2944" s="8"/>
      <c r="CD2944" s="8"/>
    </row>
    <row r="2945" spans="73:82" ht="15.75">
      <c r="BU2945" s="8"/>
      <c r="BZ2945" s="8"/>
      <c r="CD2945" s="8"/>
    </row>
    <row r="2946" spans="73:82" ht="15.75">
      <c r="BU2946" s="8"/>
      <c r="BZ2946" s="8"/>
      <c r="CD2946" s="8"/>
    </row>
    <row r="2947" spans="73:82" ht="15.75">
      <c r="BU2947" s="8"/>
      <c r="BZ2947" s="8"/>
      <c r="CD2947" s="8"/>
    </row>
    <row r="2948" spans="73:82" ht="15.75">
      <c r="BU2948" s="8"/>
      <c r="BZ2948" s="8"/>
      <c r="CD2948" s="8"/>
    </row>
    <row r="2949" spans="73:82" ht="15.75">
      <c r="BU2949" s="8"/>
      <c r="BZ2949" s="8"/>
      <c r="CD2949" s="8"/>
    </row>
    <row r="2950" spans="73:82" ht="15.75">
      <c r="BU2950" s="8"/>
      <c r="BZ2950" s="8"/>
      <c r="CD2950" s="8"/>
    </row>
    <row r="2951" spans="73:82" ht="15.75">
      <c r="BU2951" s="8"/>
      <c r="BZ2951" s="8"/>
      <c r="CD2951" s="8"/>
    </row>
    <row r="2952" spans="73:82" ht="15.75">
      <c r="BU2952" s="8"/>
      <c r="BZ2952" s="8"/>
      <c r="CD2952" s="8"/>
    </row>
    <row r="2953" spans="73:82" ht="15.75">
      <c r="BU2953" s="8"/>
      <c r="BZ2953" s="8"/>
      <c r="CD2953" s="8"/>
    </row>
    <row r="2954" spans="73:82" ht="15.75">
      <c r="BU2954" s="8"/>
      <c r="BZ2954" s="8"/>
      <c r="CD2954" s="8"/>
    </row>
    <row r="2955" spans="73:82" ht="15.75">
      <c r="BU2955" s="8"/>
      <c r="BZ2955" s="8"/>
      <c r="CD2955" s="8"/>
    </row>
    <row r="2956" spans="73:82" ht="15.75">
      <c r="BU2956" s="8"/>
      <c r="BZ2956" s="8"/>
      <c r="CD2956" s="8"/>
    </row>
    <row r="2957" spans="73:82" ht="15.75">
      <c r="BU2957" s="8"/>
      <c r="BZ2957" s="8"/>
      <c r="CD2957" s="8"/>
    </row>
    <row r="2958" spans="73:82" ht="15.75">
      <c r="BU2958" s="8"/>
      <c r="BZ2958" s="8"/>
      <c r="CD2958" s="8"/>
    </row>
    <row r="2959" spans="73:82" ht="15.75">
      <c r="BU2959" s="8"/>
      <c r="BZ2959" s="8"/>
      <c r="CD2959" s="8"/>
    </row>
    <row r="2960" spans="73:82" ht="15.75">
      <c r="BU2960" s="8"/>
      <c r="BZ2960" s="8"/>
      <c r="CD2960" s="8"/>
    </row>
    <row r="2961" spans="73:82" ht="15.75">
      <c r="BU2961" s="8"/>
      <c r="BZ2961" s="8"/>
      <c r="CD2961" s="8"/>
    </row>
    <row r="2962" spans="73:82" ht="15.75">
      <c r="BU2962" s="8"/>
      <c r="BZ2962" s="8"/>
      <c r="CD2962" s="8"/>
    </row>
    <row r="2963" spans="73:82" ht="15.75">
      <c r="BU2963" s="8"/>
      <c r="BZ2963" s="8"/>
      <c r="CD2963" s="8"/>
    </row>
    <row r="2964" spans="73:82" ht="15.75">
      <c r="BU2964" s="8"/>
      <c r="BZ2964" s="8"/>
      <c r="CD2964" s="8"/>
    </row>
    <row r="2965" spans="73:82" ht="15.75">
      <c r="BU2965" s="8"/>
      <c r="BZ2965" s="8"/>
      <c r="CD2965" s="8"/>
    </row>
    <row r="2966" spans="73:82" ht="15.75">
      <c r="BU2966" s="8"/>
      <c r="BZ2966" s="8"/>
      <c r="CD2966" s="8"/>
    </row>
    <row r="2967" spans="73:82" ht="15.75">
      <c r="BU2967" s="8"/>
      <c r="BZ2967" s="8"/>
      <c r="CD2967" s="8"/>
    </row>
    <row r="2968" spans="73:82" ht="15.75">
      <c r="BU2968" s="8"/>
      <c r="BZ2968" s="8"/>
      <c r="CD2968" s="8"/>
    </row>
    <row r="2969" spans="73:82" ht="15.75">
      <c r="BU2969" s="8"/>
      <c r="BZ2969" s="8"/>
      <c r="CD2969" s="8"/>
    </row>
    <row r="2970" spans="73:82" ht="15.75">
      <c r="BU2970" s="8"/>
      <c r="BZ2970" s="8"/>
      <c r="CD2970" s="8"/>
    </row>
    <row r="2971" spans="73:82" ht="15.75">
      <c r="BU2971" s="8"/>
      <c r="BZ2971" s="8"/>
      <c r="CD2971" s="8"/>
    </row>
    <row r="2972" spans="73:82" ht="15.75">
      <c r="BU2972" s="8"/>
      <c r="BZ2972" s="8"/>
      <c r="CD2972" s="8"/>
    </row>
    <row r="2973" spans="73:82" ht="15.75">
      <c r="BU2973" s="8"/>
      <c r="BZ2973" s="8"/>
      <c r="CD2973" s="8"/>
    </row>
    <row r="2974" spans="73:82" ht="15.75">
      <c r="BU2974" s="8"/>
      <c r="BZ2974" s="8"/>
      <c r="CD2974" s="8"/>
    </row>
    <row r="2975" spans="73:82" ht="15.75">
      <c r="BU2975" s="8"/>
      <c r="BZ2975" s="8"/>
      <c r="CD2975" s="8"/>
    </row>
    <row r="2976" spans="73:82" ht="15.75">
      <c r="BU2976" s="8"/>
      <c r="BZ2976" s="8"/>
      <c r="CD2976" s="8"/>
    </row>
    <row r="2977" spans="73:82" ht="15.75">
      <c r="BU2977" s="8"/>
      <c r="BZ2977" s="8"/>
      <c r="CD2977" s="8"/>
    </row>
    <row r="2978" spans="73:82" ht="15.75">
      <c r="BU2978" s="8"/>
      <c r="BZ2978" s="8"/>
      <c r="CD2978" s="8"/>
    </row>
    <row r="2979" spans="73:82" ht="15.75">
      <c r="BU2979" s="8"/>
      <c r="BZ2979" s="8"/>
      <c r="CD2979" s="8"/>
    </row>
    <row r="2980" spans="73:82" ht="15.75">
      <c r="BU2980" s="8"/>
      <c r="BZ2980" s="8"/>
      <c r="CD2980" s="8"/>
    </row>
    <row r="2981" spans="73:82" ht="15.75">
      <c r="BU2981" s="8"/>
      <c r="BZ2981" s="8"/>
      <c r="CD2981" s="8"/>
    </row>
    <row r="2982" spans="73:82" ht="15.75">
      <c r="BU2982" s="8"/>
      <c r="BZ2982" s="8"/>
      <c r="CD2982" s="8"/>
    </row>
    <row r="2983" spans="73:82" ht="15.75">
      <c r="BU2983" s="8"/>
      <c r="BZ2983" s="8"/>
      <c r="CD2983" s="8"/>
    </row>
    <row r="2984" spans="73:82" ht="15.75">
      <c r="BU2984" s="8"/>
      <c r="BZ2984" s="8"/>
      <c r="CD2984" s="8"/>
    </row>
    <row r="2985" spans="73:82" ht="15.75">
      <c r="BU2985" s="8"/>
      <c r="BZ2985" s="8"/>
      <c r="CD2985" s="8"/>
    </row>
    <row r="2986" spans="73:82" ht="15.75">
      <c r="BU2986" s="8"/>
      <c r="BZ2986" s="8"/>
      <c r="CD2986" s="8"/>
    </row>
    <row r="2987" spans="73:82" ht="15.75">
      <c r="BU2987" s="8"/>
      <c r="BZ2987" s="8"/>
      <c r="CD2987" s="8"/>
    </row>
    <row r="2988" spans="73:82" ht="15.75">
      <c r="BU2988" s="8"/>
      <c r="BZ2988" s="8"/>
      <c r="CD2988" s="8"/>
    </row>
    <row r="2989" spans="73:82" ht="15.75">
      <c r="BU2989" s="8"/>
      <c r="BZ2989" s="8"/>
      <c r="CD2989" s="8"/>
    </row>
    <row r="2990" spans="73:82" ht="15.75">
      <c r="BU2990" s="8"/>
      <c r="BZ2990" s="8"/>
      <c r="CD2990" s="8"/>
    </row>
    <row r="2991" spans="73:82" ht="15.75">
      <c r="BU2991" s="8"/>
      <c r="BZ2991" s="8"/>
      <c r="CD2991" s="8"/>
    </row>
    <row r="2992" spans="73:82" ht="15.75">
      <c r="BU2992" s="8"/>
      <c r="BZ2992" s="8"/>
      <c r="CD2992" s="8"/>
    </row>
    <row r="2993" spans="73:82" ht="15.75">
      <c r="BU2993" s="8"/>
      <c r="BZ2993" s="8"/>
      <c r="CD2993" s="8"/>
    </row>
    <row r="2994" spans="73:82" ht="15.75">
      <c r="BU2994" s="8"/>
      <c r="BZ2994" s="8"/>
      <c r="CD2994" s="8"/>
    </row>
    <row r="2995" spans="73:82" ht="15.75">
      <c r="BU2995" s="8"/>
      <c r="BZ2995" s="8"/>
      <c r="CD2995" s="8"/>
    </row>
    <row r="2996" spans="73:82" ht="15.75">
      <c r="BU2996" s="8"/>
      <c r="BZ2996" s="8"/>
      <c r="CD2996" s="8"/>
    </row>
    <row r="2997" spans="73:82" ht="15.75">
      <c r="BU2997" s="8"/>
      <c r="BZ2997" s="8"/>
      <c r="CD2997" s="8"/>
    </row>
    <row r="2998" spans="73:82" ht="15.75">
      <c r="BU2998" s="8"/>
      <c r="BZ2998" s="8"/>
      <c r="CD2998" s="8"/>
    </row>
    <row r="2999" spans="73:82" ht="15.75">
      <c r="BU2999" s="8"/>
      <c r="BZ2999" s="8"/>
      <c r="CD2999" s="8"/>
    </row>
    <row r="3000" spans="73:82" ht="15.75">
      <c r="BU3000" s="8"/>
      <c r="BZ3000" s="8"/>
      <c r="CD3000" s="8"/>
    </row>
    <row r="3001" spans="73:82" ht="15.75">
      <c r="BU3001" s="8"/>
      <c r="BZ3001" s="8"/>
      <c r="CD3001" s="8"/>
    </row>
    <row r="3002" spans="73:82" ht="15.75">
      <c r="BU3002" s="8"/>
      <c r="BZ3002" s="8"/>
      <c r="CD3002" s="8"/>
    </row>
    <row r="3003" spans="73:82" ht="15.75">
      <c r="BU3003" s="8"/>
      <c r="BZ3003" s="8"/>
      <c r="CD3003" s="8"/>
    </row>
    <row r="3004" spans="73:82" ht="15.75">
      <c r="BU3004" s="8"/>
      <c r="BZ3004" s="8"/>
      <c r="CD3004" s="8"/>
    </row>
    <row r="3005" spans="73:82" ht="15.75">
      <c r="BU3005" s="8"/>
      <c r="BZ3005" s="8"/>
      <c r="CD3005" s="8"/>
    </row>
    <row r="3006" spans="73:82" ht="15.75">
      <c r="BU3006" s="8"/>
      <c r="BZ3006" s="8"/>
      <c r="CD3006" s="8"/>
    </row>
    <row r="3007" spans="73:82" ht="15.75">
      <c r="BU3007" s="8"/>
      <c r="BZ3007" s="8"/>
      <c r="CD3007" s="8"/>
    </row>
    <row r="3008" spans="73:82" ht="15.75">
      <c r="BU3008" s="8"/>
      <c r="BZ3008" s="8"/>
      <c r="CD3008" s="8"/>
    </row>
    <row r="3009" spans="73:82" ht="15.75">
      <c r="BU3009" s="8"/>
      <c r="BZ3009" s="8"/>
      <c r="CD3009" s="8"/>
    </row>
    <row r="3010" spans="73:82" ht="15.75">
      <c r="BU3010" s="8"/>
      <c r="BZ3010" s="8"/>
      <c r="CD3010" s="8"/>
    </row>
    <row r="3011" spans="73:82" ht="15.75">
      <c r="BU3011" s="8"/>
      <c r="BZ3011" s="8"/>
      <c r="CD3011" s="8"/>
    </row>
    <row r="3012" spans="73:82" ht="15.75">
      <c r="BU3012" s="8"/>
      <c r="BZ3012" s="8"/>
      <c r="CD3012" s="8"/>
    </row>
    <row r="3013" spans="73:82" ht="15.75">
      <c r="BU3013" s="8"/>
      <c r="BZ3013" s="8"/>
      <c r="CD3013" s="8"/>
    </row>
    <row r="3014" spans="73:82" ht="15.75">
      <c r="BU3014" s="8"/>
      <c r="BZ3014" s="8"/>
      <c r="CD3014" s="8"/>
    </row>
    <row r="3015" spans="73:82" ht="15.75">
      <c r="BU3015" s="8"/>
      <c r="BZ3015" s="8"/>
      <c r="CD3015" s="8"/>
    </row>
    <row r="3016" spans="73:82" ht="15.75">
      <c r="BU3016" s="8"/>
      <c r="BZ3016" s="8"/>
      <c r="CD3016" s="8"/>
    </row>
    <row r="3017" spans="73:82" ht="15.75">
      <c r="BU3017" s="8"/>
      <c r="BZ3017" s="8"/>
      <c r="CD3017" s="8"/>
    </row>
    <row r="3018" spans="73:82" ht="15.75">
      <c r="BU3018" s="8"/>
      <c r="BZ3018" s="8"/>
      <c r="CD3018" s="8"/>
    </row>
    <row r="3019" spans="73:82" ht="15.75">
      <c r="BU3019" s="8"/>
      <c r="BZ3019" s="8"/>
      <c r="CD3019" s="8"/>
    </row>
    <row r="3020" spans="73:82" ht="15.75">
      <c r="BU3020" s="8"/>
      <c r="BZ3020" s="8"/>
      <c r="CD3020" s="8"/>
    </row>
    <row r="3021" spans="73:82" ht="15.75">
      <c r="BU3021" s="8"/>
      <c r="BZ3021" s="8"/>
      <c r="CD3021" s="8"/>
    </row>
    <row r="3022" spans="73:82" ht="15.75">
      <c r="BU3022" s="8"/>
      <c r="BZ3022" s="8"/>
      <c r="CD3022" s="8"/>
    </row>
    <row r="3023" spans="73:82" ht="15.75">
      <c r="BU3023" s="8"/>
      <c r="BZ3023" s="8"/>
      <c r="CD3023" s="8"/>
    </row>
    <row r="3024" spans="73:82" ht="15.75">
      <c r="BU3024" s="8"/>
      <c r="BZ3024" s="8"/>
      <c r="CD3024" s="8"/>
    </row>
    <row r="3025" spans="73:82" ht="15.75">
      <c r="BU3025" s="8"/>
      <c r="BZ3025" s="8"/>
      <c r="CD3025" s="8"/>
    </row>
    <row r="3026" spans="73:82" ht="15.75">
      <c r="BU3026" s="8"/>
      <c r="BZ3026" s="8"/>
      <c r="CD3026" s="8"/>
    </row>
    <row r="3027" spans="73:82" ht="15.75">
      <c r="BU3027" s="8"/>
      <c r="BZ3027" s="8"/>
      <c r="CD3027" s="8"/>
    </row>
    <row r="3028" spans="73:82" ht="15.75">
      <c r="BU3028" s="8"/>
      <c r="BZ3028" s="8"/>
      <c r="CD3028" s="8"/>
    </row>
    <row r="3029" spans="73:82" ht="15.75">
      <c r="BU3029" s="8"/>
      <c r="BZ3029" s="8"/>
      <c r="CD3029" s="8"/>
    </row>
    <row r="3030" spans="73:82" ht="15.75">
      <c r="BU3030" s="8"/>
      <c r="BZ3030" s="8"/>
      <c r="CD3030" s="8"/>
    </row>
    <row r="3031" spans="73:82" ht="15.75">
      <c r="BU3031" s="8"/>
      <c r="BZ3031" s="8"/>
      <c r="CD3031" s="8"/>
    </row>
    <row r="3032" spans="73:82" ht="15.75">
      <c r="BU3032" s="8"/>
      <c r="BZ3032" s="8"/>
      <c r="CD3032" s="8"/>
    </row>
    <row r="3033" spans="73:82" ht="15.75">
      <c r="BU3033" s="8"/>
      <c r="BZ3033" s="8"/>
      <c r="CD3033" s="8"/>
    </row>
    <row r="3034" spans="73:82" ht="15.75">
      <c r="BU3034" s="8"/>
      <c r="BZ3034" s="8"/>
      <c r="CD3034" s="8"/>
    </row>
    <row r="3035" spans="73:82" ht="15.75">
      <c r="BU3035" s="8"/>
      <c r="BZ3035" s="8"/>
      <c r="CD3035" s="8"/>
    </row>
    <row r="3036" spans="73:82" ht="15.75">
      <c r="BU3036" s="8"/>
      <c r="BZ3036" s="8"/>
      <c r="CD3036" s="8"/>
    </row>
    <row r="3037" spans="73:82" ht="15.75">
      <c r="BU3037" s="8"/>
      <c r="BZ3037" s="8"/>
      <c r="CD3037" s="8"/>
    </row>
    <row r="3038" spans="73:82" ht="15.75">
      <c r="BU3038" s="8"/>
      <c r="BZ3038" s="8"/>
      <c r="CD3038" s="8"/>
    </row>
    <row r="3039" spans="73:82" ht="15.75">
      <c r="BU3039" s="8"/>
      <c r="BZ3039" s="8"/>
      <c r="CD3039" s="8"/>
    </row>
    <row r="3040" spans="73:82" ht="15.75">
      <c r="BU3040" s="8"/>
      <c r="BZ3040" s="8"/>
      <c r="CD3040" s="8"/>
    </row>
    <row r="3041" spans="73:82" ht="15.75">
      <c r="BU3041" s="8"/>
      <c r="BZ3041" s="8"/>
      <c r="CD3041" s="8"/>
    </row>
    <row r="3042" spans="73:82" ht="15.75">
      <c r="BU3042" s="8"/>
      <c r="BZ3042" s="8"/>
      <c r="CD3042" s="8"/>
    </row>
    <row r="3043" spans="73:82" ht="15.75">
      <c r="BU3043" s="8"/>
      <c r="BZ3043" s="8"/>
      <c r="CD3043" s="8"/>
    </row>
    <row r="3044" spans="73:82" ht="15.75">
      <c r="BU3044" s="8"/>
      <c r="BZ3044" s="8"/>
      <c r="CD3044" s="8"/>
    </row>
    <row r="3045" spans="73:82" ht="15.75">
      <c r="BU3045" s="8"/>
      <c r="BZ3045" s="8"/>
      <c r="CD3045" s="8"/>
    </row>
    <row r="3046" spans="73:82" ht="15.75">
      <c r="BU3046" s="8"/>
      <c r="BZ3046" s="8"/>
      <c r="CD3046" s="8"/>
    </row>
    <row r="3047" spans="73:82" ht="15.75">
      <c r="BU3047" s="8"/>
      <c r="BZ3047" s="8"/>
      <c r="CD3047" s="8"/>
    </row>
    <row r="3048" spans="73:82" ht="15.75">
      <c r="BU3048" s="8"/>
      <c r="BZ3048" s="8"/>
      <c r="CD3048" s="8"/>
    </row>
    <row r="3049" spans="73:82" ht="15.75">
      <c r="BU3049" s="8"/>
      <c r="BZ3049" s="8"/>
      <c r="CD3049" s="8"/>
    </row>
    <row r="3050" spans="73:82" ht="15.75">
      <c r="BU3050" s="8"/>
      <c r="BZ3050" s="8"/>
      <c r="CD3050" s="8"/>
    </row>
    <row r="3051" spans="73:82" ht="15.75">
      <c r="BU3051" s="8"/>
      <c r="BZ3051" s="8"/>
      <c r="CD3051" s="8"/>
    </row>
    <row r="3052" spans="73:82" ht="15.75">
      <c r="BU3052" s="8"/>
      <c r="BZ3052" s="8"/>
      <c r="CD3052" s="8"/>
    </row>
    <row r="3053" spans="73:82" ht="15.75">
      <c r="BU3053" s="8"/>
      <c r="BZ3053" s="8"/>
      <c r="CD3053" s="8"/>
    </row>
    <row r="3054" spans="73:82" ht="15.75">
      <c r="BU3054" s="8"/>
      <c r="BZ3054" s="8"/>
      <c r="CD3054" s="8"/>
    </row>
    <row r="3055" spans="73:82" ht="15.75">
      <c r="BU3055" s="8"/>
      <c r="BZ3055" s="8"/>
      <c r="CD3055" s="8"/>
    </row>
    <row r="3056" spans="73:82" ht="15.75">
      <c r="BU3056" s="8"/>
      <c r="BZ3056" s="8"/>
      <c r="CD3056" s="8"/>
    </row>
    <row r="3057" spans="73:82" ht="15.75">
      <c r="BU3057" s="8"/>
      <c r="BZ3057" s="8"/>
      <c r="CD3057" s="8"/>
    </row>
    <row r="3058" spans="73:82" ht="15.75">
      <c r="BU3058" s="8"/>
      <c r="BZ3058" s="8"/>
      <c r="CD3058" s="8"/>
    </row>
    <row r="3059" spans="73:82" ht="15.75">
      <c r="BU3059" s="8"/>
      <c r="BZ3059" s="8"/>
      <c r="CD3059" s="8"/>
    </row>
    <row r="3060" spans="73:82" ht="15.75">
      <c r="BU3060" s="8"/>
      <c r="BZ3060" s="8"/>
      <c r="CD3060" s="8"/>
    </row>
    <row r="3061" spans="73:82" ht="15.75">
      <c r="BU3061" s="8"/>
      <c r="BZ3061" s="8"/>
      <c r="CD3061" s="8"/>
    </row>
    <row r="3062" spans="73:82" ht="15.75">
      <c r="BU3062" s="8"/>
      <c r="BZ3062" s="8"/>
      <c r="CD3062" s="8"/>
    </row>
    <row r="3063" spans="73:82" ht="15.75">
      <c r="BU3063" s="8"/>
      <c r="BZ3063" s="8"/>
      <c r="CD3063" s="8"/>
    </row>
    <row r="3064" spans="73:82" ht="15.75">
      <c r="BU3064" s="8"/>
      <c r="BZ3064" s="8"/>
      <c r="CD3064" s="8"/>
    </row>
    <row r="3065" spans="73:82" ht="15.75">
      <c r="BU3065" s="8"/>
      <c r="BZ3065" s="8"/>
      <c r="CD3065" s="8"/>
    </row>
    <row r="3066" spans="73:82" ht="15.75">
      <c r="BU3066" s="8"/>
      <c r="BZ3066" s="8"/>
      <c r="CD3066" s="8"/>
    </row>
    <row r="3067" spans="73:82" ht="15.75">
      <c r="BU3067" s="8"/>
      <c r="BZ3067" s="8"/>
      <c r="CD3067" s="8"/>
    </row>
    <row r="3068" spans="73:82" ht="15.75">
      <c r="BU3068" s="8"/>
      <c r="BZ3068" s="8"/>
      <c r="CD3068" s="8"/>
    </row>
    <row r="3069" spans="73:82" ht="15.75">
      <c r="BU3069" s="8"/>
      <c r="BZ3069" s="8"/>
      <c r="CD3069" s="8"/>
    </row>
    <row r="3070" spans="73:82" ht="15.75">
      <c r="BU3070" s="8"/>
      <c r="BZ3070" s="8"/>
      <c r="CD3070" s="8"/>
    </row>
    <row r="3071" spans="73:82" ht="15.75">
      <c r="BU3071" s="8"/>
      <c r="BZ3071" s="8"/>
      <c r="CD3071" s="8"/>
    </row>
    <row r="3072" spans="73:82" ht="15.75">
      <c r="BU3072" s="8"/>
      <c r="BZ3072" s="8"/>
      <c r="CD3072" s="8"/>
    </row>
    <row r="3073" spans="73:82" ht="15.75">
      <c r="BU3073" s="8"/>
      <c r="BZ3073" s="8"/>
      <c r="CD3073" s="8"/>
    </row>
    <row r="3074" spans="73:82" ht="15.75">
      <c r="BU3074" s="8"/>
      <c r="BZ3074" s="8"/>
      <c r="CD3074" s="8"/>
    </row>
    <row r="3075" spans="73:82" ht="15.75">
      <c r="BU3075" s="8"/>
      <c r="BZ3075" s="8"/>
      <c r="CD3075" s="8"/>
    </row>
    <row r="3076" spans="73:82" ht="15.75">
      <c r="BU3076" s="8"/>
      <c r="BZ3076" s="8"/>
      <c r="CD3076" s="8"/>
    </row>
    <row r="3077" spans="73:82" ht="15.75">
      <c r="BU3077" s="8"/>
      <c r="BZ3077" s="8"/>
      <c r="CD3077" s="8"/>
    </row>
    <row r="3078" spans="73:82" ht="15.75">
      <c r="BU3078" s="8"/>
      <c r="BZ3078" s="8"/>
      <c r="CD3078" s="8"/>
    </row>
    <row r="3079" spans="73:82" ht="15.75">
      <c r="BU3079" s="8"/>
      <c r="BZ3079" s="8"/>
      <c r="CD3079" s="8"/>
    </row>
    <row r="3080" spans="73:82" ht="15.75">
      <c r="BU3080" s="8"/>
      <c r="BZ3080" s="8"/>
      <c r="CD3080" s="8"/>
    </row>
    <row r="3081" spans="73:82" ht="15.75">
      <c r="BU3081" s="8"/>
      <c r="BZ3081" s="8"/>
      <c r="CD3081" s="8"/>
    </row>
    <row r="3082" spans="73:82" ht="15.75">
      <c r="BU3082" s="8"/>
      <c r="BZ3082" s="8"/>
      <c r="CD3082" s="8"/>
    </row>
    <row r="3083" spans="73:82" ht="15.75">
      <c r="BU3083" s="8"/>
      <c r="BZ3083" s="8"/>
      <c r="CD3083" s="8"/>
    </row>
    <row r="3084" spans="73:82" ht="15.75">
      <c r="BU3084" s="8"/>
      <c r="BZ3084" s="8"/>
      <c r="CD3084" s="8"/>
    </row>
    <row r="3085" spans="73:82" ht="15.75">
      <c r="BU3085" s="8"/>
      <c r="BZ3085" s="8"/>
      <c r="CD3085" s="8"/>
    </row>
    <row r="3086" spans="73:82" ht="15.75">
      <c r="BU3086" s="8"/>
      <c r="BZ3086" s="8"/>
      <c r="CD3086" s="8"/>
    </row>
    <row r="3087" spans="73:82" ht="15.75">
      <c r="BU3087" s="8"/>
      <c r="BZ3087" s="8"/>
      <c r="CD3087" s="8"/>
    </row>
    <row r="3088" spans="73:82" ht="15.75">
      <c r="BU3088" s="8"/>
      <c r="BZ3088" s="8"/>
      <c r="CD3088" s="8"/>
    </row>
    <row r="3089" spans="73:82" ht="15.75">
      <c r="BU3089" s="8"/>
      <c r="BZ3089" s="8"/>
      <c r="CD3089" s="8"/>
    </row>
    <row r="3090" spans="73:82" ht="15.75">
      <c r="BU3090" s="8"/>
      <c r="BZ3090" s="8"/>
      <c r="CD3090" s="8"/>
    </row>
    <row r="3091" spans="73:82" ht="15.75">
      <c r="BU3091" s="8"/>
      <c r="BZ3091" s="8"/>
      <c r="CD3091" s="8"/>
    </row>
    <row r="3092" spans="73:82" ht="15.75">
      <c r="BU3092" s="8"/>
      <c r="BZ3092" s="8"/>
      <c r="CD3092" s="8"/>
    </row>
    <row r="3093" spans="73:82" ht="15.75">
      <c r="BU3093" s="8"/>
      <c r="BZ3093" s="8"/>
      <c r="CD3093" s="8"/>
    </row>
    <row r="3094" spans="73:82" ht="15.75">
      <c r="BU3094" s="8"/>
      <c r="BZ3094" s="8"/>
      <c r="CD3094" s="8"/>
    </row>
    <row r="3095" spans="73:82" ht="15.75">
      <c r="BU3095" s="8"/>
      <c r="BZ3095" s="8"/>
      <c r="CD3095" s="8"/>
    </row>
    <row r="3096" spans="73:82" ht="15.75">
      <c r="BU3096" s="8"/>
      <c r="BZ3096" s="8"/>
      <c r="CD3096" s="8"/>
    </row>
    <row r="3097" spans="73:82" ht="15.75">
      <c r="BU3097" s="8"/>
      <c r="BZ3097" s="8"/>
      <c r="CD3097" s="8"/>
    </row>
    <row r="3098" spans="73:82" ht="15.75">
      <c r="BU3098" s="8"/>
      <c r="BZ3098" s="8"/>
      <c r="CD3098" s="8"/>
    </row>
    <row r="3099" spans="73:82" ht="15.75">
      <c r="BU3099" s="8"/>
      <c r="BZ3099" s="8"/>
      <c r="CD3099" s="8"/>
    </row>
    <row r="3100" spans="73:82" ht="15.75">
      <c r="BU3100" s="8"/>
      <c r="BZ3100" s="8"/>
      <c r="CD3100" s="8"/>
    </row>
    <row r="3101" spans="73:82" ht="15.75">
      <c r="BU3101" s="8"/>
      <c r="BZ3101" s="8"/>
      <c r="CD3101" s="8"/>
    </row>
    <row r="3102" spans="73:82" ht="15.75">
      <c r="BU3102" s="8"/>
      <c r="BZ3102" s="8"/>
      <c r="CD3102" s="8"/>
    </row>
    <row r="3103" spans="73:82" ht="15.75">
      <c r="BU3103" s="8"/>
      <c r="BZ3103" s="8"/>
      <c r="CD3103" s="8"/>
    </row>
    <row r="3104" spans="73:82" ht="15.75">
      <c r="BU3104" s="8"/>
      <c r="BZ3104" s="8"/>
      <c r="CD3104" s="8"/>
    </row>
    <row r="3105" spans="73:82" ht="15.75">
      <c r="BU3105" s="8"/>
      <c r="BZ3105" s="8"/>
      <c r="CD3105" s="8"/>
    </row>
    <row r="3106" spans="73:82" ht="15.75">
      <c r="BU3106" s="8"/>
      <c r="BZ3106" s="8"/>
      <c r="CD3106" s="8"/>
    </row>
    <row r="3107" spans="73:82" ht="15.75">
      <c r="BU3107" s="8"/>
      <c r="BZ3107" s="8"/>
      <c r="CD3107" s="8"/>
    </row>
    <row r="3108" spans="73:82" ht="15.75">
      <c r="BU3108" s="8"/>
      <c r="BZ3108" s="8"/>
      <c r="CD3108" s="8"/>
    </row>
    <row r="3109" spans="73:82" ht="15.75">
      <c r="BU3109" s="8"/>
      <c r="BZ3109" s="8"/>
      <c r="CD3109" s="8"/>
    </row>
    <row r="3110" spans="73:82" ht="15.75">
      <c r="BU3110" s="8"/>
      <c r="BZ3110" s="8"/>
      <c r="CD3110" s="8"/>
    </row>
    <row r="3111" spans="73:82" ht="15.75">
      <c r="BU3111" s="8"/>
      <c r="BZ3111" s="8"/>
      <c r="CD3111" s="8"/>
    </row>
    <row r="3112" spans="73:82" ht="15.75">
      <c r="BU3112" s="8"/>
      <c r="BZ3112" s="8"/>
      <c r="CD3112" s="8"/>
    </row>
    <row r="3113" spans="73:82" ht="15.75">
      <c r="BU3113" s="8"/>
      <c r="BZ3113" s="8"/>
      <c r="CD3113" s="8"/>
    </row>
    <row r="3114" spans="73:82" ht="15.75">
      <c r="BU3114" s="8"/>
      <c r="BZ3114" s="8"/>
      <c r="CD3114" s="8"/>
    </row>
    <row r="3115" spans="73:82" ht="15.75">
      <c r="BU3115" s="8"/>
      <c r="BZ3115" s="8"/>
      <c r="CD3115" s="8"/>
    </row>
    <row r="3116" spans="73:82" ht="15.75">
      <c r="BU3116" s="8"/>
      <c r="BZ3116" s="8"/>
      <c r="CD3116" s="8"/>
    </row>
    <row r="3117" spans="73:82" ht="15.75">
      <c r="BU3117" s="8"/>
      <c r="BZ3117" s="8"/>
      <c r="CD3117" s="8"/>
    </row>
    <row r="3118" spans="73:82" ht="15.75">
      <c r="BU3118" s="8"/>
      <c r="BZ3118" s="8"/>
      <c r="CD3118" s="8"/>
    </row>
    <row r="3119" spans="73:82" ht="15.75">
      <c r="BU3119" s="8"/>
      <c r="BZ3119" s="8"/>
      <c r="CD3119" s="8"/>
    </row>
    <row r="3120" spans="73:82" ht="15.75">
      <c r="BU3120" s="8"/>
      <c r="BZ3120" s="8"/>
      <c r="CD3120" s="8"/>
    </row>
    <row r="3121" spans="73:82" ht="15.75">
      <c r="BU3121" s="8"/>
      <c r="BZ3121" s="8"/>
      <c r="CD3121" s="8"/>
    </row>
    <row r="3122" spans="73:82" ht="15.75">
      <c r="BU3122" s="8"/>
      <c r="BZ3122" s="8"/>
      <c r="CD3122" s="8"/>
    </row>
    <row r="3123" spans="73:82" ht="15.75">
      <c r="BU3123" s="8"/>
      <c r="BZ3123" s="8"/>
      <c r="CD3123" s="8"/>
    </row>
    <row r="3124" spans="73:82" ht="15.75">
      <c r="BU3124" s="8"/>
      <c r="BZ3124" s="8"/>
      <c r="CD3124" s="8"/>
    </row>
    <row r="3125" spans="73:82" ht="15.75">
      <c r="BU3125" s="8"/>
      <c r="BZ3125" s="8"/>
      <c r="CD3125" s="8"/>
    </row>
    <row r="3126" spans="73:82" ht="15.75">
      <c r="BU3126" s="8"/>
      <c r="BZ3126" s="8"/>
      <c r="CD3126" s="8"/>
    </row>
    <row r="3127" spans="73:82" ht="15.75">
      <c r="BU3127" s="8"/>
      <c r="BZ3127" s="8"/>
      <c r="CD3127" s="8"/>
    </row>
    <row r="3128" spans="73:82" ht="15.75">
      <c r="BU3128" s="8"/>
      <c r="BZ3128" s="8"/>
      <c r="CD3128" s="8"/>
    </row>
    <row r="3129" spans="73:82" ht="15.75">
      <c r="BU3129" s="8"/>
      <c r="BZ3129" s="8"/>
      <c r="CD3129" s="8"/>
    </row>
    <row r="3130" spans="73:82" ht="15.75">
      <c r="BU3130" s="8"/>
      <c r="BZ3130" s="8"/>
      <c r="CD3130" s="8"/>
    </row>
    <row r="3131" spans="73:82" ht="15.75">
      <c r="BU3131" s="8"/>
      <c r="BZ3131" s="8"/>
      <c r="CD3131" s="8"/>
    </row>
    <row r="3132" spans="73:82" ht="15.75">
      <c r="BU3132" s="8"/>
      <c r="BZ3132" s="8"/>
      <c r="CD3132" s="8"/>
    </row>
    <row r="3133" spans="73:82" ht="15.75">
      <c r="BU3133" s="8"/>
      <c r="BZ3133" s="8"/>
      <c r="CD3133" s="8"/>
    </row>
    <row r="3134" spans="73:82" ht="15.75">
      <c r="BU3134" s="8"/>
      <c r="BZ3134" s="8"/>
      <c r="CD3134" s="8"/>
    </row>
    <row r="3135" spans="73:82" ht="15.75">
      <c r="BU3135" s="8"/>
      <c r="BZ3135" s="8"/>
      <c r="CD3135" s="8"/>
    </row>
    <row r="3136" spans="73:82" ht="15.75">
      <c r="BU3136" s="8"/>
      <c r="BZ3136" s="8"/>
      <c r="CD3136" s="8"/>
    </row>
    <row r="3137" spans="73:82" ht="15.75">
      <c r="BU3137" s="8"/>
      <c r="BZ3137" s="8"/>
      <c r="CD3137" s="8"/>
    </row>
    <row r="3138" spans="73:82" ht="15.75">
      <c r="BU3138" s="8"/>
      <c r="BZ3138" s="8"/>
      <c r="CD3138" s="8"/>
    </row>
    <row r="3139" spans="73:82" ht="15.75">
      <c r="BU3139" s="8"/>
      <c r="BZ3139" s="8"/>
      <c r="CD3139" s="8"/>
    </row>
    <row r="3140" spans="73:82" ht="15.75">
      <c r="BU3140" s="8"/>
      <c r="BZ3140" s="8"/>
      <c r="CD3140" s="8"/>
    </row>
    <row r="3141" spans="73:82" ht="15.75">
      <c r="BU3141" s="8"/>
      <c r="BZ3141" s="8"/>
      <c r="CD3141" s="8"/>
    </row>
    <row r="3142" spans="73:82" ht="15.75">
      <c r="BU3142" s="8"/>
      <c r="BZ3142" s="8"/>
      <c r="CD3142" s="8"/>
    </row>
    <row r="3143" spans="73:82" ht="15.75">
      <c r="BU3143" s="8"/>
      <c r="BZ3143" s="8"/>
      <c r="CD3143" s="8"/>
    </row>
    <row r="3144" spans="73:82" ht="15.75">
      <c r="BU3144" s="8"/>
      <c r="BZ3144" s="8"/>
      <c r="CD3144" s="8"/>
    </row>
    <row r="3145" spans="73:82" ht="15.75">
      <c r="BU3145" s="8"/>
      <c r="BZ3145" s="8"/>
      <c r="CD3145" s="8"/>
    </row>
    <row r="3146" spans="73:82" ht="15.75">
      <c r="BU3146" s="8"/>
      <c r="BZ3146" s="8"/>
      <c r="CD3146" s="8"/>
    </row>
    <row r="3147" spans="73:82" ht="15.75">
      <c r="BU3147" s="8"/>
      <c r="BZ3147" s="8"/>
      <c r="CD3147" s="8"/>
    </row>
    <row r="3148" spans="73:82" ht="15.75">
      <c r="BU3148" s="8"/>
      <c r="BZ3148" s="8"/>
      <c r="CD3148" s="8"/>
    </row>
    <row r="3149" spans="73:82" ht="15.75">
      <c r="BU3149" s="8"/>
      <c r="BZ3149" s="8"/>
      <c r="CD3149" s="8"/>
    </row>
    <row r="3150" spans="73:82" ht="15.75">
      <c r="BU3150" s="8"/>
      <c r="BZ3150" s="8"/>
      <c r="CD3150" s="8"/>
    </row>
    <row r="3151" spans="73:82" ht="15.75">
      <c r="BU3151" s="8"/>
      <c r="BZ3151" s="8"/>
      <c r="CD3151" s="8"/>
    </row>
    <row r="3152" spans="73:82" ht="15.75">
      <c r="BU3152" s="8"/>
      <c r="BZ3152" s="8"/>
      <c r="CD3152" s="8"/>
    </row>
    <row r="3153" spans="73:82" ht="15.75">
      <c r="BU3153" s="8"/>
      <c r="BZ3153" s="8"/>
      <c r="CD3153" s="8"/>
    </row>
    <row r="3154" spans="73:82" ht="15.75">
      <c r="BU3154" s="8"/>
      <c r="BZ3154" s="8"/>
      <c r="CD3154" s="8"/>
    </row>
    <row r="3155" spans="73:82" ht="15.75">
      <c r="BU3155" s="8"/>
      <c r="BZ3155" s="8"/>
      <c r="CD3155" s="8"/>
    </row>
    <row r="3156" spans="73:82" ht="15.75">
      <c r="BU3156" s="8"/>
      <c r="BZ3156" s="8"/>
      <c r="CD3156" s="8"/>
    </row>
    <row r="3157" spans="73:82" ht="15.75">
      <c r="BU3157" s="8"/>
      <c r="BZ3157" s="8"/>
      <c r="CD3157" s="8"/>
    </row>
    <row r="3158" spans="73:82" ht="15.75">
      <c r="BU3158" s="8"/>
      <c r="BZ3158" s="8"/>
      <c r="CD3158" s="8"/>
    </row>
    <row r="3159" spans="73:82" ht="15.75">
      <c r="BU3159" s="8"/>
      <c r="BZ3159" s="8"/>
      <c r="CD3159" s="8"/>
    </row>
    <row r="3160" spans="73:82" ht="15.75">
      <c r="BU3160" s="8"/>
      <c r="BZ3160" s="8"/>
      <c r="CD3160" s="8"/>
    </row>
    <row r="3161" spans="73:82" ht="15.75">
      <c r="BU3161" s="8"/>
      <c r="BZ3161" s="8"/>
      <c r="CD3161" s="8"/>
    </row>
    <row r="3162" spans="73:82" ht="15.75">
      <c r="BU3162" s="8"/>
      <c r="BZ3162" s="8"/>
      <c r="CD3162" s="8"/>
    </row>
    <row r="3163" spans="73:82" ht="15.75">
      <c r="BU3163" s="8"/>
      <c r="BZ3163" s="8"/>
      <c r="CD3163" s="8"/>
    </row>
    <row r="3164" spans="73:82" ht="15.75">
      <c r="BU3164" s="8"/>
      <c r="BZ3164" s="8"/>
      <c r="CD3164" s="8"/>
    </row>
    <row r="3165" spans="73:82" ht="15.75">
      <c r="BU3165" s="8"/>
      <c r="BZ3165" s="8"/>
      <c r="CD3165" s="8"/>
    </row>
    <row r="3166" spans="73:82" ht="15.75">
      <c r="BU3166" s="8"/>
      <c r="BZ3166" s="8"/>
      <c r="CD3166" s="8"/>
    </row>
    <row r="3167" spans="73:82" ht="15.75">
      <c r="BU3167" s="8"/>
      <c r="BZ3167" s="8"/>
      <c r="CD3167" s="8"/>
    </row>
    <row r="3168" spans="73:82" ht="15.75">
      <c r="BU3168" s="8"/>
      <c r="BZ3168" s="8"/>
      <c r="CD3168" s="8"/>
    </row>
    <row r="3169" spans="73:82" ht="15.75">
      <c r="BU3169" s="8"/>
      <c r="BZ3169" s="8"/>
      <c r="CD3169" s="8"/>
    </row>
    <row r="3170" spans="73:82" ht="15.75">
      <c r="BU3170" s="8"/>
      <c r="BZ3170" s="8"/>
      <c r="CD3170" s="8"/>
    </row>
    <row r="3171" spans="73:82" ht="15.75">
      <c r="BU3171" s="8"/>
      <c r="BZ3171" s="8"/>
      <c r="CD3171" s="8"/>
    </row>
    <row r="3172" spans="73:82" ht="15.75">
      <c r="BU3172" s="8"/>
      <c r="BZ3172" s="8"/>
      <c r="CD3172" s="8"/>
    </row>
    <row r="3173" spans="73:82" ht="15.75">
      <c r="BU3173" s="8"/>
      <c r="BZ3173" s="8"/>
      <c r="CD3173" s="8"/>
    </row>
    <row r="3174" spans="73:82" ht="15.75">
      <c r="BU3174" s="8"/>
      <c r="BZ3174" s="8"/>
      <c r="CD3174" s="8"/>
    </row>
    <row r="3175" spans="73:82" ht="15.75">
      <c r="BU3175" s="8"/>
      <c r="BZ3175" s="8"/>
      <c r="CD3175" s="8"/>
    </row>
    <row r="3176" spans="73:82" ht="15.75">
      <c r="BU3176" s="8"/>
      <c r="BZ3176" s="8"/>
      <c r="CD3176" s="8"/>
    </row>
    <row r="3177" spans="73:82" ht="15.75">
      <c r="BU3177" s="8"/>
      <c r="BZ3177" s="8"/>
      <c r="CD3177" s="8"/>
    </row>
    <row r="3178" spans="73:82" ht="15.75">
      <c r="BU3178" s="8"/>
      <c r="BZ3178" s="8"/>
      <c r="CD3178" s="8"/>
    </row>
    <row r="3179" spans="73:82" ht="15.75">
      <c r="BU3179" s="8"/>
      <c r="BZ3179" s="8"/>
      <c r="CD3179" s="8"/>
    </row>
    <row r="3180" spans="73:82" ht="15.75">
      <c r="BU3180" s="8"/>
      <c r="BZ3180" s="8"/>
      <c r="CD3180" s="8"/>
    </row>
    <row r="3181" spans="73:82" ht="15.75">
      <c r="BU3181" s="8"/>
      <c r="BZ3181" s="8"/>
      <c r="CD3181" s="8"/>
    </row>
    <row r="3182" spans="73:82" ht="15.75">
      <c r="BU3182" s="8"/>
      <c r="BZ3182" s="8"/>
      <c r="CD3182" s="8"/>
    </row>
    <row r="3183" spans="73:82" ht="15.75">
      <c r="BU3183" s="8"/>
      <c r="BZ3183" s="8"/>
      <c r="CD3183" s="8"/>
    </row>
    <row r="3184" spans="73:82" ht="15.75">
      <c r="BU3184" s="8"/>
      <c r="BZ3184" s="8"/>
      <c r="CD3184" s="8"/>
    </row>
    <row r="3185" spans="73:82" ht="15.75">
      <c r="BU3185" s="8"/>
      <c r="BZ3185" s="8"/>
      <c r="CD3185" s="8"/>
    </row>
    <row r="3186" spans="73:82" ht="15.75">
      <c r="BU3186" s="8"/>
      <c r="BZ3186" s="8"/>
      <c r="CD3186" s="8"/>
    </row>
    <row r="3187" spans="73:82" ht="15.75">
      <c r="BU3187" s="8"/>
      <c r="BZ3187" s="8"/>
      <c r="CD3187" s="8"/>
    </row>
    <row r="3188" spans="73:82" ht="15.75">
      <c r="BU3188" s="8"/>
      <c r="BZ3188" s="8"/>
      <c r="CD3188" s="8"/>
    </row>
    <row r="3189" spans="73:82" ht="15.75">
      <c r="BU3189" s="8"/>
      <c r="BZ3189" s="8"/>
      <c r="CD3189" s="8"/>
    </row>
    <row r="3190" spans="73:82" ht="15.75">
      <c r="BU3190" s="8"/>
      <c r="BZ3190" s="8"/>
      <c r="CD3190" s="8"/>
    </row>
    <row r="3191" spans="73:82" ht="15.75">
      <c r="BU3191" s="8"/>
      <c r="BZ3191" s="8"/>
      <c r="CD3191" s="8"/>
    </row>
    <row r="3192" spans="73:82" ht="15.75">
      <c r="BU3192" s="8"/>
      <c r="BZ3192" s="8"/>
      <c r="CD3192" s="8"/>
    </row>
    <row r="3193" spans="73:82" ht="15.75">
      <c r="BU3193" s="8"/>
      <c r="BZ3193" s="8"/>
      <c r="CD3193" s="8"/>
    </row>
    <row r="3194" spans="73:82" ht="15.75">
      <c r="BU3194" s="8"/>
      <c r="BZ3194" s="8"/>
      <c r="CD3194" s="8"/>
    </row>
    <row r="3195" spans="73:82" ht="15.75">
      <c r="BU3195" s="8"/>
      <c r="BZ3195" s="8"/>
      <c r="CD3195" s="8"/>
    </row>
    <row r="3196" spans="73:82" ht="15.75">
      <c r="BU3196" s="8"/>
      <c r="BZ3196" s="8"/>
      <c r="CD3196" s="8"/>
    </row>
    <row r="3197" spans="73:82" ht="15.75">
      <c r="BU3197" s="8"/>
      <c r="BZ3197" s="8"/>
      <c r="CD3197" s="8"/>
    </row>
    <row r="3198" spans="73:82" ht="15.75">
      <c r="BU3198" s="8"/>
      <c r="BZ3198" s="8"/>
      <c r="CD3198" s="8"/>
    </row>
    <row r="3199" spans="73:82" ht="15.75">
      <c r="BU3199" s="8"/>
      <c r="BZ3199" s="8"/>
      <c r="CD3199" s="8"/>
    </row>
    <row r="3200" spans="73:82" ht="15.75">
      <c r="BU3200" s="8"/>
      <c r="BZ3200" s="8"/>
      <c r="CD3200" s="8"/>
    </row>
    <row r="3201" spans="73:82" ht="15.75">
      <c r="BU3201" s="8"/>
      <c r="BZ3201" s="8"/>
      <c r="CD3201" s="8"/>
    </row>
    <row r="3202" spans="73:82" ht="15.75">
      <c r="BU3202" s="8"/>
      <c r="BZ3202" s="8"/>
      <c r="CD3202" s="8"/>
    </row>
    <row r="3203" spans="73:82" ht="15.75">
      <c r="BU3203" s="8"/>
      <c r="BZ3203" s="8"/>
      <c r="CD3203" s="8"/>
    </row>
    <row r="3204" spans="73:82" ht="15.75">
      <c r="BU3204" s="8"/>
      <c r="BZ3204" s="8"/>
      <c r="CD3204" s="8"/>
    </row>
    <row r="3205" spans="73:82" ht="15.75">
      <c r="BU3205" s="8"/>
      <c r="BZ3205" s="8"/>
      <c r="CD3205" s="8"/>
    </row>
    <row r="3206" spans="73:82" ht="15.75">
      <c r="BU3206" s="8"/>
      <c r="BZ3206" s="8"/>
      <c r="CD3206" s="8"/>
    </row>
    <row r="3207" spans="73:82" ht="15.75">
      <c r="BU3207" s="8"/>
      <c r="BZ3207" s="8"/>
      <c r="CD3207" s="8"/>
    </row>
    <row r="3208" spans="73:82" ht="15.75">
      <c r="BU3208" s="8"/>
      <c r="BZ3208" s="8"/>
      <c r="CD3208" s="8"/>
    </row>
    <row r="3209" spans="73:82" ht="15.75">
      <c r="BU3209" s="8"/>
      <c r="BZ3209" s="8"/>
      <c r="CD3209" s="8"/>
    </row>
    <row r="3210" spans="73:82" ht="15.75">
      <c r="BU3210" s="8"/>
      <c r="BZ3210" s="8"/>
      <c r="CD3210" s="8"/>
    </row>
    <row r="3211" spans="73:82" ht="15.75">
      <c r="BU3211" s="8"/>
      <c r="BZ3211" s="8"/>
      <c r="CD3211" s="8"/>
    </row>
    <row r="3212" spans="73:82" ht="15.75">
      <c r="BU3212" s="8"/>
      <c r="BZ3212" s="8"/>
      <c r="CD3212" s="8"/>
    </row>
    <row r="3213" spans="73:82" ht="15.75">
      <c r="BU3213" s="8"/>
      <c r="BZ3213" s="8"/>
      <c r="CD3213" s="8"/>
    </row>
    <row r="3214" spans="73:82" ht="15.75">
      <c r="BU3214" s="8"/>
      <c r="BZ3214" s="8"/>
      <c r="CD3214" s="8"/>
    </row>
    <row r="3215" spans="73:82" ht="15.75">
      <c r="BU3215" s="8"/>
      <c r="BZ3215" s="8"/>
      <c r="CD3215" s="8"/>
    </row>
    <row r="3216" spans="73:82" ht="15.75">
      <c r="BU3216" s="8"/>
      <c r="BZ3216" s="8"/>
      <c r="CD3216" s="8"/>
    </row>
    <row r="3217" spans="73:82" ht="15.75">
      <c r="BU3217" s="8"/>
      <c r="BZ3217" s="8"/>
      <c r="CD3217" s="8"/>
    </row>
    <row r="3218" spans="73:82" ht="15.75">
      <c r="BU3218" s="8"/>
      <c r="BZ3218" s="8"/>
      <c r="CD3218" s="8"/>
    </row>
    <row r="3219" spans="73:82" ht="15.75">
      <c r="BU3219" s="8"/>
      <c r="BZ3219" s="8"/>
      <c r="CD3219" s="8"/>
    </row>
    <row r="3220" spans="73:82" ht="15.75">
      <c r="BU3220" s="8"/>
      <c r="BZ3220" s="8"/>
      <c r="CD3220" s="8"/>
    </row>
    <row r="3221" spans="73:82" ht="15.75">
      <c r="BU3221" s="8"/>
      <c r="BZ3221" s="8"/>
      <c r="CD3221" s="8"/>
    </row>
    <row r="3222" spans="73:82" ht="15.75">
      <c r="BU3222" s="8"/>
      <c r="BZ3222" s="8"/>
      <c r="CD3222" s="8"/>
    </row>
    <row r="3223" spans="73:82" ht="15.75">
      <c r="BU3223" s="8"/>
      <c r="BZ3223" s="8"/>
      <c r="CD3223" s="8"/>
    </row>
    <row r="3224" spans="73:82" ht="15.75">
      <c r="BU3224" s="8"/>
      <c r="BZ3224" s="8"/>
      <c r="CD3224" s="8"/>
    </row>
    <row r="3225" spans="73:82" ht="15.75">
      <c r="BU3225" s="8"/>
      <c r="BZ3225" s="8"/>
      <c r="CD3225" s="8"/>
    </row>
    <row r="3226" spans="73:82" ht="15.75">
      <c r="BU3226" s="8"/>
      <c r="BZ3226" s="8"/>
      <c r="CD3226" s="8"/>
    </row>
    <row r="3227" spans="73:82" ht="15.75">
      <c r="BU3227" s="8"/>
      <c r="BZ3227" s="8"/>
      <c r="CD3227" s="8"/>
    </row>
    <row r="3228" spans="73:82" ht="15.75">
      <c r="BU3228" s="8"/>
      <c r="BZ3228" s="8"/>
      <c r="CD3228" s="8"/>
    </row>
    <row r="3229" spans="73:82" ht="15.75">
      <c r="BU3229" s="8"/>
      <c r="BZ3229" s="8"/>
      <c r="CD3229" s="8"/>
    </row>
    <row r="3230" spans="73:82" ht="15.75">
      <c r="BU3230" s="8"/>
      <c r="BZ3230" s="8"/>
      <c r="CD3230" s="8"/>
    </row>
    <row r="3231" spans="73:82" ht="15.75">
      <c r="BU3231" s="8"/>
      <c r="BZ3231" s="8"/>
      <c r="CD3231" s="8"/>
    </row>
    <row r="3232" spans="73:82" ht="15.75">
      <c r="BU3232" s="8"/>
      <c r="BZ3232" s="8"/>
      <c r="CD3232" s="8"/>
    </row>
    <row r="3233" spans="73:82" ht="15.75">
      <c r="BU3233" s="8"/>
      <c r="BZ3233" s="8"/>
      <c r="CD3233" s="8"/>
    </row>
    <row r="3234" spans="73:82" ht="15.75">
      <c r="BU3234" s="8"/>
      <c r="BZ3234" s="8"/>
      <c r="CD3234" s="8"/>
    </row>
    <row r="3235" spans="73:82" ht="15.75">
      <c r="BU3235" s="8"/>
      <c r="BZ3235" s="8"/>
      <c r="CD3235" s="8"/>
    </row>
    <row r="3236" spans="73:82" ht="15.75">
      <c r="BU3236" s="8"/>
      <c r="BZ3236" s="8"/>
      <c r="CD3236" s="8"/>
    </row>
    <row r="3237" spans="73:82" ht="15.75">
      <c r="BU3237" s="8"/>
      <c r="BZ3237" s="8"/>
      <c r="CD3237" s="8"/>
    </row>
    <row r="3238" spans="73:82" ht="15.75">
      <c r="BU3238" s="8"/>
      <c r="BZ3238" s="8"/>
      <c r="CD3238" s="8"/>
    </row>
    <row r="3239" spans="73:82" ht="15.75">
      <c r="BU3239" s="8"/>
      <c r="BZ3239" s="8"/>
      <c r="CD3239" s="8"/>
    </row>
    <row r="3240" spans="73:82" ht="15.75">
      <c r="BU3240" s="8"/>
      <c r="BZ3240" s="8"/>
      <c r="CD3240" s="8"/>
    </row>
    <row r="3241" spans="73:82" ht="15.75">
      <c r="BU3241" s="8"/>
      <c r="BZ3241" s="8"/>
      <c r="CD3241" s="8"/>
    </row>
    <row r="3242" spans="73:82" ht="15.75">
      <c r="BU3242" s="8"/>
      <c r="BZ3242" s="8"/>
      <c r="CD3242" s="8"/>
    </row>
    <row r="3243" spans="73:82" ht="15.75">
      <c r="BU3243" s="8"/>
      <c r="BZ3243" s="8"/>
      <c r="CD3243" s="8"/>
    </row>
    <row r="3244" spans="73:82" ht="15.75">
      <c r="BU3244" s="8"/>
      <c r="BZ3244" s="8"/>
      <c r="CD3244" s="8"/>
    </row>
    <row r="3245" spans="73:82" ht="15.75">
      <c r="BU3245" s="8"/>
      <c r="BZ3245" s="8"/>
      <c r="CD3245" s="8"/>
    </row>
    <row r="3246" spans="73:82" ht="15.75">
      <c r="BU3246" s="8"/>
      <c r="BZ3246" s="8"/>
      <c r="CD3246" s="8"/>
    </row>
    <row r="3247" spans="73:82" ht="15.75">
      <c r="BU3247" s="8"/>
      <c r="BZ3247" s="8"/>
      <c r="CD3247" s="8"/>
    </row>
    <row r="3248" spans="73:82" ht="15.75">
      <c r="BU3248" s="8"/>
      <c r="BZ3248" s="8"/>
      <c r="CD3248" s="8"/>
    </row>
    <row r="3249" spans="73:82" ht="15.75">
      <c r="BU3249" s="8"/>
      <c r="BZ3249" s="8"/>
      <c r="CD3249" s="8"/>
    </row>
    <row r="3250" spans="73:82" ht="15.75">
      <c r="BU3250" s="8"/>
      <c r="BZ3250" s="8"/>
      <c r="CD3250" s="8"/>
    </row>
    <row r="3251" spans="73:82" ht="15.75">
      <c r="BU3251" s="8"/>
      <c r="BZ3251" s="8"/>
      <c r="CD3251" s="8"/>
    </row>
    <row r="3252" spans="73:82" ht="15.75">
      <c r="BU3252" s="8"/>
      <c r="BZ3252" s="8"/>
      <c r="CD3252" s="8"/>
    </row>
    <row r="3253" spans="73:82" ht="15.75">
      <c r="BU3253" s="8"/>
      <c r="BZ3253" s="8"/>
      <c r="CD3253" s="8"/>
    </row>
    <row r="3254" spans="73:82" ht="15.75">
      <c r="BU3254" s="8"/>
      <c r="BZ3254" s="8"/>
      <c r="CD3254" s="8"/>
    </row>
    <row r="3255" spans="73:82" ht="15.75">
      <c r="BU3255" s="8"/>
      <c r="BZ3255" s="8"/>
      <c r="CD3255" s="8"/>
    </row>
    <row r="3256" spans="73:82" ht="15.75">
      <c r="BU3256" s="8"/>
      <c r="BZ3256" s="8"/>
      <c r="CD3256" s="8"/>
    </row>
    <row r="3257" spans="73:82" ht="15.75">
      <c r="BU3257" s="8"/>
      <c r="BZ3257" s="8"/>
      <c r="CD3257" s="8"/>
    </row>
    <row r="3258" spans="73:82" ht="15.75">
      <c r="BU3258" s="8"/>
      <c r="BZ3258" s="8"/>
      <c r="CD3258" s="8"/>
    </row>
    <row r="3259" spans="73:82" ht="15.75">
      <c r="BU3259" s="8"/>
      <c r="BZ3259" s="8"/>
      <c r="CD3259" s="8"/>
    </row>
    <row r="3260" spans="73:82" ht="15.75">
      <c r="BU3260" s="8"/>
      <c r="BZ3260" s="8"/>
      <c r="CD3260" s="8"/>
    </row>
    <row r="3261" spans="73:82" ht="15.75">
      <c r="BU3261" s="8"/>
      <c r="BZ3261" s="8"/>
      <c r="CD3261" s="8"/>
    </row>
    <row r="3262" spans="73:82" ht="15.75">
      <c r="BU3262" s="8"/>
      <c r="BZ3262" s="8"/>
      <c r="CD3262" s="8"/>
    </row>
    <row r="3263" spans="73:82" ht="15.75">
      <c r="BU3263" s="8"/>
      <c r="BZ3263" s="8"/>
      <c r="CD3263" s="8"/>
    </row>
    <row r="3264" spans="73:82" ht="15.75">
      <c r="BU3264" s="8"/>
      <c r="BZ3264" s="8"/>
      <c r="CD3264" s="8"/>
    </row>
    <row r="3265" spans="73:82" ht="15.75">
      <c r="BU3265" s="8"/>
      <c r="BZ3265" s="8"/>
      <c r="CD3265" s="8"/>
    </row>
    <row r="3266" spans="73:82" ht="15.75">
      <c r="BU3266" s="8"/>
      <c r="BZ3266" s="8"/>
      <c r="CD3266" s="8"/>
    </row>
    <row r="3267" spans="73:82" ht="15.75">
      <c r="BU3267" s="8"/>
      <c r="BZ3267" s="8"/>
      <c r="CD3267" s="8"/>
    </row>
    <row r="3268" spans="73:82" ht="15.75">
      <c r="BU3268" s="8"/>
      <c r="BZ3268" s="8"/>
      <c r="CD3268" s="8"/>
    </row>
    <row r="3269" spans="73:82" ht="15.75">
      <c r="BU3269" s="8"/>
      <c r="BZ3269" s="8"/>
      <c r="CD3269" s="8"/>
    </row>
    <row r="3270" spans="73:82" ht="15.75">
      <c r="BU3270" s="8"/>
      <c r="BZ3270" s="8"/>
      <c r="CD3270" s="8"/>
    </row>
    <row r="3271" spans="73:82" ht="15.75">
      <c r="BU3271" s="8"/>
      <c r="BZ3271" s="8"/>
      <c r="CD3271" s="8"/>
    </row>
    <row r="3272" spans="73:82" ht="15.75">
      <c r="BU3272" s="8"/>
      <c r="BZ3272" s="8"/>
      <c r="CD3272" s="8"/>
    </row>
    <row r="3273" spans="73:82" ht="15.75">
      <c r="BU3273" s="8"/>
      <c r="BZ3273" s="8"/>
      <c r="CD3273" s="8"/>
    </row>
    <row r="3274" spans="73:82" ht="15.75">
      <c r="BU3274" s="8"/>
      <c r="BZ3274" s="8"/>
      <c r="CD3274" s="8"/>
    </row>
    <row r="3275" spans="73:82" ht="15.75">
      <c r="BU3275" s="8"/>
      <c r="BZ3275" s="8"/>
      <c r="CD3275" s="8"/>
    </row>
    <row r="3276" spans="73:82" ht="15.75">
      <c r="BU3276" s="8"/>
      <c r="BZ3276" s="8"/>
      <c r="CD3276" s="8"/>
    </row>
    <row r="3277" spans="73:82" ht="15.75">
      <c r="BU3277" s="8"/>
      <c r="BZ3277" s="8"/>
      <c r="CD3277" s="8"/>
    </row>
    <row r="3278" spans="73:82" ht="15.75">
      <c r="BU3278" s="8"/>
      <c r="BZ3278" s="8"/>
      <c r="CD3278" s="8"/>
    </row>
    <row r="3279" spans="73:82" ht="15.75">
      <c r="BU3279" s="8"/>
      <c r="BZ3279" s="8"/>
      <c r="CD3279" s="8"/>
    </row>
    <row r="3280" spans="73:82" ht="15.75">
      <c r="BU3280" s="8"/>
      <c r="BZ3280" s="8"/>
      <c r="CD3280" s="8"/>
    </row>
    <row r="3281" spans="73:82" ht="15.75">
      <c r="BU3281" s="8"/>
      <c r="BZ3281" s="8"/>
      <c r="CD3281" s="8"/>
    </row>
    <row r="3282" spans="73:82" ht="15.75">
      <c r="BU3282" s="8"/>
      <c r="BZ3282" s="8"/>
      <c r="CD3282" s="8"/>
    </row>
    <row r="3283" spans="73:82" ht="15.75">
      <c r="BU3283" s="8"/>
      <c r="BZ3283" s="8"/>
      <c r="CD3283" s="8"/>
    </row>
    <row r="3284" spans="73:82" ht="15.75">
      <c r="BU3284" s="8"/>
      <c r="BZ3284" s="8"/>
      <c r="CD3284" s="8"/>
    </row>
    <row r="3285" spans="73:82" ht="15.75">
      <c r="BU3285" s="8"/>
      <c r="BZ3285" s="8"/>
      <c r="CD3285" s="8"/>
    </row>
    <row r="3286" spans="73:82" ht="15.75">
      <c r="BU3286" s="8"/>
      <c r="BZ3286" s="8"/>
      <c r="CD3286" s="8"/>
    </row>
    <row r="3287" spans="73:82" ht="15.75">
      <c r="BU3287" s="8"/>
      <c r="BZ3287" s="8"/>
      <c r="CD3287" s="8"/>
    </row>
    <row r="3288" spans="73:82" ht="15.75">
      <c r="BU3288" s="8"/>
      <c r="BZ3288" s="8"/>
      <c r="CD3288" s="8"/>
    </row>
    <row r="3289" spans="73:82" ht="15.75">
      <c r="BU3289" s="8"/>
      <c r="BZ3289" s="8"/>
      <c r="CD3289" s="8"/>
    </row>
    <row r="3290" spans="73:82" ht="15.75">
      <c r="BU3290" s="8"/>
      <c r="BZ3290" s="8"/>
      <c r="CD3290" s="8"/>
    </row>
    <row r="3291" spans="73:82" ht="15.75">
      <c r="BU3291" s="8"/>
      <c r="BZ3291" s="8"/>
      <c r="CD3291" s="8"/>
    </row>
    <row r="3292" spans="73:82" ht="15.75">
      <c r="BU3292" s="8"/>
      <c r="BZ3292" s="8"/>
      <c r="CD3292" s="8"/>
    </row>
    <row r="3293" spans="73:82" ht="15.75">
      <c r="BU3293" s="8"/>
      <c r="BZ3293" s="8"/>
      <c r="CD3293" s="8"/>
    </row>
    <row r="3294" spans="73:82" ht="15.75">
      <c r="BU3294" s="8"/>
      <c r="BZ3294" s="8"/>
      <c r="CD3294" s="8"/>
    </row>
    <row r="3295" spans="73:82" ht="15.75">
      <c r="BU3295" s="8"/>
      <c r="BZ3295" s="8"/>
      <c r="CD3295" s="8"/>
    </row>
    <row r="3296" spans="73:82" ht="15.75">
      <c r="BU3296" s="8"/>
      <c r="BZ3296" s="8"/>
      <c r="CD3296" s="8"/>
    </row>
    <row r="3297" spans="73:82" ht="15.75">
      <c r="BU3297" s="8"/>
      <c r="BZ3297" s="8"/>
      <c r="CD3297" s="8"/>
    </row>
    <row r="3298" spans="73:82" ht="15.75">
      <c r="BU3298" s="8"/>
      <c r="BZ3298" s="8"/>
      <c r="CD3298" s="8"/>
    </row>
    <row r="3299" spans="73:82" ht="15.75">
      <c r="BU3299" s="8"/>
      <c r="BZ3299" s="8"/>
      <c r="CD3299" s="8"/>
    </row>
    <row r="3300" spans="73:82" ht="15.75">
      <c r="BU3300" s="8"/>
      <c r="BZ3300" s="8"/>
      <c r="CD3300" s="8"/>
    </row>
    <row r="3301" spans="73:82" ht="15.75">
      <c r="BU3301" s="8"/>
      <c r="BZ3301" s="8"/>
      <c r="CD3301" s="8"/>
    </row>
    <row r="3302" spans="73:82" ht="15.75">
      <c r="BU3302" s="8"/>
      <c r="BZ3302" s="8"/>
      <c r="CD3302" s="8"/>
    </row>
    <row r="3303" spans="73:82" ht="15.75">
      <c r="BU3303" s="8"/>
      <c r="BZ3303" s="8"/>
      <c r="CD3303" s="8"/>
    </row>
    <row r="3304" spans="73:82" ht="15.75">
      <c r="BU3304" s="8"/>
      <c r="BZ3304" s="8"/>
      <c r="CD3304" s="8"/>
    </row>
    <row r="3305" spans="73:82" ht="15.75">
      <c r="BU3305" s="8"/>
      <c r="BZ3305" s="8"/>
      <c r="CD3305" s="8"/>
    </row>
    <row r="3306" spans="73:82" ht="15.75">
      <c r="BU3306" s="8"/>
      <c r="BZ3306" s="8"/>
      <c r="CD3306" s="8"/>
    </row>
    <row r="3307" spans="73:82" ht="15.75">
      <c r="BU3307" s="8"/>
      <c r="BZ3307" s="8"/>
      <c r="CD3307" s="8"/>
    </row>
    <row r="3308" spans="73:82" ht="15.75">
      <c r="BU3308" s="8"/>
      <c r="BZ3308" s="8"/>
      <c r="CD3308" s="8"/>
    </row>
    <row r="3309" spans="73:82" ht="15.75">
      <c r="BU3309" s="8"/>
      <c r="BZ3309" s="8"/>
      <c r="CD3309" s="8"/>
    </row>
    <row r="3310" spans="73:82" ht="15.75">
      <c r="BU3310" s="8"/>
      <c r="BZ3310" s="8"/>
      <c r="CD3310" s="8"/>
    </row>
    <row r="3311" spans="73:82" ht="15.75">
      <c r="BU3311" s="8"/>
      <c r="BZ3311" s="8"/>
      <c r="CD3311" s="8"/>
    </row>
    <row r="3312" spans="73:82" ht="15.75">
      <c r="BU3312" s="8"/>
      <c r="BZ3312" s="8"/>
      <c r="CD3312" s="8"/>
    </row>
    <row r="3313" spans="73:82" ht="15.75">
      <c r="BU3313" s="8"/>
      <c r="BZ3313" s="8"/>
      <c r="CD3313" s="8"/>
    </row>
    <row r="3314" spans="73:82" ht="15.75">
      <c r="BU3314" s="8"/>
      <c r="BZ3314" s="8"/>
      <c r="CD3314" s="8"/>
    </row>
    <row r="3315" spans="73:82" ht="15.75">
      <c r="BU3315" s="8"/>
      <c r="BZ3315" s="8"/>
      <c r="CD3315" s="8"/>
    </row>
    <row r="3316" spans="73:82" ht="15.75">
      <c r="BU3316" s="8"/>
      <c r="BZ3316" s="8"/>
      <c r="CD3316" s="8"/>
    </row>
    <row r="3317" spans="73:82" ht="15.75">
      <c r="BU3317" s="8"/>
      <c r="BZ3317" s="8"/>
      <c r="CD3317" s="8"/>
    </row>
    <row r="3318" spans="73:82" ht="15.75">
      <c r="BU3318" s="8"/>
      <c r="BZ3318" s="8"/>
      <c r="CD3318" s="8"/>
    </row>
    <row r="3319" spans="73:82" ht="15.75">
      <c r="BU3319" s="8"/>
      <c r="BZ3319" s="8"/>
      <c r="CD3319" s="8"/>
    </row>
    <row r="3320" spans="73:82" ht="15.75">
      <c r="BU3320" s="8"/>
      <c r="BZ3320" s="8"/>
      <c r="CD3320" s="8"/>
    </row>
    <row r="3321" spans="73:82" ht="15.75">
      <c r="BU3321" s="8"/>
      <c r="BZ3321" s="8"/>
      <c r="CD3321" s="8"/>
    </row>
    <row r="3322" spans="73:82" ht="15.75">
      <c r="BU3322" s="8"/>
      <c r="BZ3322" s="8"/>
      <c r="CD3322" s="8"/>
    </row>
    <row r="3323" spans="73:82" ht="15.75">
      <c r="BU3323" s="8"/>
      <c r="BZ3323" s="8"/>
      <c r="CD3323" s="8"/>
    </row>
    <row r="3324" spans="73:82" ht="15.75">
      <c r="BU3324" s="8"/>
      <c r="BZ3324" s="8"/>
      <c r="CD3324" s="8"/>
    </row>
    <row r="3325" spans="73:82" ht="15.75">
      <c r="BU3325" s="8"/>
      <c r="BZ3325" s="8"/>
      <c r="CD3325" s="8"/>
    </row>
    <row r="3326" spans="73:82" ht="15.75">
      <c r="BU3326" s="8"/>
      <c r="BZ3326" s="8"/>
      <c r="CD3326" s="8"/>
    </row>
    <row r="3327" spans="73:82" ht="15.75">
      <c r="BU3327" s="8"/>
      <c r="BZ3327" s="8"/>
      <c r="CD3327" s="8"/>
    </row>
    <row r="3328" spans="73:82" ht="15.75">
      <c r="BU3328" s="8"/>
      <c r="BZ3328" s="8"/>
      <c r="CD3328" s="8"/>
    </row>
    <row r="3329" spans="73:82" ht="15.75">
      <c r="BU3329" s="8"/>
      <c r="BZ3329" s="8"/>
      <c r="CD3329" s="8"/>
    </row>
    <row r="3330" spans="73:82" ht="15.75">
      <c r="BU3330" s="8"/>
      <c r="BZ3330" s="8"/>
      <c r="CD3330" s="8"/>
    </row>
    <row r="3331" spans="73:82" ht="15.75">
      <c r="BU3331" s="8"/>
      <c r="BZ3331" s="8"/>
      <c r="CD3331" s="8"/>
    </row>
    <row r="3332" spans="73:82" ht="15.75">
      <c r="BU3332" s="8"/>
      <c r="BZ3332" s="8"/>
      <c r="CD3332" s="8"/>
    </row>
    <row r="3333" spans="73:82" ht="15.75">
      <c r="BU3333" s="8"/>
      <c r="BZ3333" s="8"/>
      <c r="CD3333" s="8"/>
    </row>
    <row r="3334" spans="73:82" ht="15.75">
      <c r="BU3334" s="8"/>
      <c r="BZ3334" s="8"/>
      <c r="CD3334" s="8"/>
    </row>
    <row r="3335" spans="73:82" ht="15.75">
      <c r="BU3335" s="8"/>
      <c r="BZ3335" s="8"/>
      <c r="CD3335" s="8"/>
    </row>
    <row r="3336" spans="73:82" ht="15.75">
      <c r="BU3336" s="8"/>
      <c r="BZ3336" s="8"/>
      <c r="CD3336" s="8"/>
    </row>
    <row r="3337" spans="73:82" ht="15.75">
      <c r="BU3337" s="8"/>
      <c r="BZ3337" s="8"/>
      <c r="CD3337" s="8"/>
    </row>
    <row r="3338" spans="73:82" ht="15.75">
      <c r="BU3338" s="8"/>
      <c r="BZ3338" s="8"/>
      <c r="CD3338" s="8"/>
    </row>
    <row r="3339" spans="73:82" ht="15.75">
      <c r="BU3339" s="8"/>
      <c r="BZ3339" s="8"/>
      <c r="CD3339" s="8"/>
    </row>
    <row r="3340" spans="73:82" ht="15.75">
      <c r="BU3340" s="8"/>
      <c r="BZ3340" s="8"/>
      <c r="CD3340" s="8"/>
    </row>
    <row r="3341" spans="73:82" ht="15.75">
      <c r="BU3341" s="8"/>
      <c r="BZ3341" s="8"/>
      <c r="CD3341" s="8"/>
    </row>
    <row r="3342" spans="73:82" ht="15.75">
      <c r="BU3342" s="8"/>
      <c r="BZ3342" s="8"/>
      <c r="CD3342" s="8"/>
    </row>
    <row r="3343" spans="73:82" ht="15.75">
      <c r="BU3343" s="8"/>
      <c r="BZ3343" s="8"/>
      <c r="CD3343" s="8"/>
    </row>
    <row r="3344" spans="73:82" ht="15.75">
      <c r="BU3344" s="8"/>
      <c r="BZ3344" s="8"/>
      <c r="CD3344" s="8"/>
    </row>
    <row r="3345" spans="73:82" ht="15.75">
      <c r="BU3345" s="8"/>
      <c r="BZ3345" s="8"/>
      <c r="CD3345" s="8"/>
    </row>
    <row r="3346" spans="73:82" ht="15.75">
      <c r="BU3346" s="8"/>
      <c r="BZ3346" s="8"/>
      <c r="CD3346" s="8"/>
    </row>
    <row r="3347" spans="73:82" ht="15.75">
      <c r="BU3347" s="8"/>
      <c r="BZ3347" s="8"/>
      <c r="CD3347" s="8"/>
    </row>
    <row r="3348" spans="73:82" ht="15.75">
      <c r="BU3348" s="8"/>
      <c r="BZ3348" s="8"/>
      <c r="CD3348" s="8"/>
    </row>
    <row r="3349" spans="73:82" ht="15.75">
      <c r="BU3349" s="8"/>
      <c r="BZ3349" s="8"/>
      <c r="CD3349" s="8"/>
    </row>
    <row r="3350" spans="73:82" ht="15.75">
      <c r="BU3350" s="8"/>
      <c r="BZ3350" s="8"/>
      <c r="CD3350" s="8"/>
    </row>
    <row r="3351" spans="73:82" ht="15.75">
      <c r="BU3351" s="8"/>
      <c r="BZ3351" s="8"/>
      <c r="CD3351" s="8"/>
    </row>
    <row r="3352" spans="73:82" ht="15.75">
      <c r="BU3352" s="8"/>
      <c r="BZ3352" s="8"/>
      <c r="CD3352" s="8"/>
    </row>
    <row r="3353" spans="73:82" ht="15.75">
      <c r="BU3353" s="8"/>
      <c r="BZ3353" s="8"/>
      <c r="CD3353" s="8"/>
    </row>
    <row r="3354" spans="73:82" ht="15.75">
      <c r="BU3354" s="8"/>
      <c r="BZ3354" s="8"/>
      <c r="CD3354" s="8"/>
    </row>
    <row r="3355" spans="73:82" ht="15.75">
      <c r="BU3355" s="8"/>
      <c r="BZ3355" s="8"/>
      <c r="CD3355" s="8"/>
    </row>
    <row r="3356" spans="73:82" ht="15.75">
      <c r="BU3356" s="8"/>
      <c r="BZ3356" s="8"/>
      <c r="CD3356" s="8"/>
    </row>
    <row r="3357" spans="73:82" ht="15.75">
      <c r="BU3357" s="8"/>
      <c r="BZ3357" s="8"/>
      <c r="CD3357" s="8"/>
    </row>
    <row r="3358" spans="73:82" ht="15.75">
      <c r="BU3358" s="8"/>
      <c r="BZ3358" s="8"/>
      <c r="CD3358" s="8"/>
    </row>
    <row r="3359" spans="73:82" ht="15.75">
      <c r="BU3359" s="8"/>
      <c r="BZ3359" s="8"/>
      <c r="CD3359" s="8"/>
    </row>
    <row r="3360" spans="73:82" ht="15.75">
      <c r="BU3360" s="8"/>
      <c r="BZ3360" s="8"/>
      <c r="CD3360" s="8"/>
    </row>
    <row r="3361" spans="73:82" ht="15.75">
      <c r="BU3361" s="8"/>
      <c r="BZ3361" s="8"/>
      <c r="CD3361" s="8"/>
    </row>
    <row r="3362" spans="73:82" ht="15.75">
      <c r="BU3362" s="8"/>
      <c r="BZ3362" s="8"/>
      <c r="CD3362" s="8"/>
    </row>
    <row r="3363" spans="73:82" ht="15.75">
      <c r="BU3363" s="8"/>
      <c r="BZ3363" s="8"/>
      <c r="CD3363" s="8"/>
    </row>
    <row r="3364" spans="73:82" ht="15.75">
      <c r="BU3364" s="8"/>
      <c r="BZ3364" s="8"/>
      <c r="CD3364" s="8"/>
    </row>
    <row r="3365" spans="73:82" ht="15.75">
      <c r="BU3365" s="8"/>
      <c r="BZ3365" s="8"/>
      <c r="CD3365" s="8"/>
    </row>
    <row r="3366" spans="73:82" ht="15.75">
      <c r="BU3366" s="8"/>
      <c r="BZ3366" s="8"/>
      <c r="CD3366" s="8"/>
    </row>
    <row r="3367" spans="73:82" ht="15.75">
      <c r="BU3367" s="8"/>
      <c r="BZ3367" s="8"/>
      <c r="CD3367" s="8"/>
    </row>
    <row r="3368" spans="73:82" ht="15.75">
      <c r="BU3368" s="8"/>
      <c r="BZ3368" s="8"/>
      <c r="CD3368" s="8"/>
    </row>
    <row r="3369" spans="73:82" ht="15.75">
      <c r="BU3369" s="8"/>
      <c r="BZ3369" s="8"/>
      <c r="CD3369" s="8"/>
    </row>
    <row r="3370" spans="73:82" ht="15.75">
      <c r="BU3370" s="8"/>
      <c r="BZ3370" s="8"/>
      <c r="CD3370" s="8"/>
    </row>
    <row r="3371" spans="73:82" ht="15.75">
      <c r="BU3371" s="8"/>
      <c r="BZ3371" s="8"/>
      <c r="CD3371" s="8"/>
    </row>
    <row r="3372" spans="73:82" ht="15.75">
      <c r="BU3372" s="8"/>
      <c r="BZ3372" s="8"/>
      <c r="CD3372" s="8"/>
    </row>
    <row r="3373" spans="73:82" ht="15.75">
      <c r="BU3373" s="8"/>
      <c r="BZ3373" s="8"/>
      <c r="CD3373" s="8"/>
    </row>
    <row r="3374" spans="73:82" ht="15.75">
      <c r="BU3374" s="8"/>
      <c r="BZ3374" s="8"/>
      <c r="CD3374" s="8"/>
    </row>
    <row r="3375" spans="73:82" ht="15.75">
      <c r="BU3375" s="8"/>
      <c r="BZ3375" s="8"/>
      <c r="CD3375" s="8"/>
    </row>
    <row r="3376" spans="73:82" ht="15.75">
      <c r="BU3376" s="8"/>
      <c r="BZ3376" s="8"/>
      <c r="CD3376" s="8"/>
    </row>
    <row r="3377" spans="73:82" ht="15.75">
      <c r="BU3377" s="8"/>
      <c r="BZ3377" s="8"/>
      <c r="CD3377" s="8"/>
    </row>
    <row r="3378" spans="73:82" ht="15.75">
      <c r="BU3378" s="8"/>
      <c r="BZ3378" s="8"/>
      <c r="CD3378" s="8"/>
    </row>
    <row r="3379" spans="73:82" ht="15.75">
      <c r="BU3379" s="8"/>
      <c r="BZ3379" s="8"/>
      <c r="CD3379" s="8"/>
    </row>
    <row r="3380" spans="73:82" ht="15.75">
      <c r="BU3380" s="8"/>
      <c r="BZ3380" s="8"/>
      <c r="CD3380" s="8"/>
    </row>
    <row r="3381" spans="73:82" ht="15.75">
      <c r="BU3381" s="8"/>
      <c r="BZ3381" s="8"/>
      <c r="CD3381" s="8"/>
    </row>
    <row r="3382" spans="73:82" ht="15.75">
      <c r="BU3382" s="8"/>
      <c r="BZ3382" s="8"/>
      <c r="CD3382" s="8"/>
    </row>
    <row r="3383" spans="73:82" ht="15.75">
      <c r="BU3383" s="8"/>
      <c r="BZ3383" s="8"/>
      <c r="CD3383" s="8"/>
    </row>
    <row r="3384" spans="73:82" ht="15.75">
      <c r="BU3384" s="8"/>
      <c r="BZ3384" s="8"/>
      <c r="CD3384" s="8"/>
    </row>
    <row r="3385" spans="73:82" ht="15.75">
      <c r="BU3385" s="8"/>
      <c r="BZ3385" s="8"/>
      <c r="CD3385" s="8"/>
    </row>
    <row r="3386" spans="73:82" ht="15.75">
      <c r="BU3386" s="8"/>
      <c r="BZ3386" s="8"/>
      <c r="CD3386" s="8"/>
    </row>
    <row r="3387" spans="73:82" ht="15.75">
      <c r="BU3387" s="8"/>
      <c r="BZ3387" s="8"/>
      <c r="CD3387" s="8"/>
    </row>
    <row r="3388" spans="73:82" ht="15.75">
      <c r="BU3388" s="8"/>
      <c r="BZ3388" s="8"/>
      <c r="CD3388" s="8"/>
    </row>
    <row r="3389" spans="73:82" ht="15.75">
      <c r="BU3389" s="8"/>
      <c r="BZ3389" s="8"/>
      <c r="CD3389" s="8"/>
    </row>
    <row r="3390" spans="73:82" ht="15.75">
      <c r="BU3390" s="8"/>
      <c r="BZ3390" s="8"/>
      <c r="CD3390" s="8"/>
    </row>
    <row r="3391" spans="73:82" ht="15.75">
      <c r="BU3391" s="8"/>
      <c r="BZ3391" s="8"/>
      <c r="CD3391" s="8"/>
    </row>
    <row r="3392" spans="73:82" ht="15.75">
      <c r="BU3392" s="8"/>
      <c r="BZ3392" s="8"/>
      <c r="CD3392" s="8"/>
    </row>
    <row r="3393" spans="73:82" ht="15.75">
      <c r="BU3393" s="8"/>
      <c r="BZ3393" s="8"/>
      <c r="CD3393" s="8"/>
    </row>
    <row r="3394" spans="73:82" ht="15.75">
      <c r="BU3394" s="8"/>
      <c r="BZ3394" s="8"/>
      <c r="CD3394" s="8"/>
    </row>
    <row r="3395" spans="73:82" ht="15.75">
      <c r="BU3395" s="8"/>
      <c r="BZ3395" s="8"/>
      <c r="CD3395" s="8"/>
    </row>
    <row r="3396" spans="73:82" ht="15.75">
      <c r="BU3396" s="8"/>
      <c r="BZ3396" s="8"/>
      <c r="CD3396" s="8"/>
    </row>
    <row r="3397" spans="73:82" ht="15.75">
      <c r="BU3397" s="8"/>
      <c r="BZ3397" s="8"/>
      <c r="CD3397" s="8"/>
    </row>
    <row r="3398" spans="73:82" ht="15.75">
      <c r="BU3398" s="8"/>
      <c r="BZ3398" s="8"/>
      <c r="CD3398" s="8"/>
    </row>
    <row r="3399" spans="73:82" ht="15.75">
      <c r="BU3399" s="8"/>
      <c r="BZ3399" s="8"/>
      <c r="CD3399" s="8"/>
    </row>
    <row r="3400" spans="73:82" ht="15.75">
      <c r="BU3400" s="8"/>
      <c r="BZ3400" s="8"/>
      <c r="CD3400" s="8"/>
    </row>
    <row r="3401" spans="73:82" ht="15.75">
      <c r="BU3401" s="8"/>
      <c r="BZ3401" s="8"/>
      <c r="CD3401" s="8"/>
    </row>
    <row r="3402" spans="73:82" ht="15.75">
      <c r="BU3402" s="8"/>
      <c r="BZ3402" s="8"/>
      <c r="CD3402" s="8"/>
    </row>
    <row r="3403" spans="73:82" ht="15.75">
      <c r="BU3403" s="8"/>
      <c r="BZ3403" s="8"/>
      <c r="CD3403" s="8"/>
    </row>
    <row r="3404" spans="73:82" ht="15.75">
      <c r="BU3404" s="8"/>
      <c r="BZ3404" s="8"/>
      <c r="CD3404" s="8"/>
    </row>
    <row r="3405" spans="73:82" ht="15.75">
      <c r="BU3405" s="8"/>
      <c r="BZ3405" s="8"/>
      <c r="CD3405" s="8"/>
    </row>
    <row r="3406" spans="73:82" ht="15.75">
      <c r="BU3406" s="8"/>
      <c r="BZ3406" s="8"/>
      <c r="CD3406" s="8"/>
    </row>
    <row r="3407" spans="73:82" ht="15.75">
      <c r="BU3407" s="8"/>
      <c r="BZ3407" s="8"/>
      <c r="CD3407" s="8"/>
    </row>
    <row r="3408" spans="73:82" ht="15.75">
      <c r="BU3408" s="8"/>
      <c r="BZ3408" s="8"/>
      <c r="CD3408" s="8"/>
    </row>
    <row r="3409" spans="73:82" ht="15.75">
      <c r="BU3409" s="8"/>
      <c r="BZ3409" s="8"/>
      <c r="CD3409" s="8"/>
    </row>
    <row r="3410" spans="73:82" ht="15.75">
      <c r="BU3410" s="8"/>
      <c r="BZ3410" s="8"/>
      <c r="CD3410" s="8"/>
    </row>
    <row r="3411" spans="73:82" ht="15.75">
      <c r="BU3411" s="8"/>
      <c r="BZ3411" s="8"/>
      <c r="CD3411" s="8"/>
    </row>
    <row r="3412" spans="73:82" ht="15.75">
      <c r="BU3412" s="8"/>
      <c r="BZ3412" s="8"/>
      <c r="CD3412" s="8"/>
    </row>
    <row r="3413" spans="73:82" ht="15.75">
      <c r="BU3413" s="8"/>
      <c r="BZ3413" s="8"/>
      <c r="CD3413" s="8"/>
    </row>
    <row r="3414" spans="73:82" ht="15.75">
      <c r="BU3414" s="8"/>
      <c r="BZ3414" s="8"/>
      <c r="CD3414" s="8"/>
    </row>
    <row r="3415" spans="73:82" ht="15.75">
      <c r="BU3415" s="8"/>
      <c r="BZ3415" s="8"/>
      <c r="CD3415" s="8"/>
    </row>
    <row r="3416" spans="73:82" ht="15.75">
      <c r="BU3416" s="8"/>
      <c r="BZ3416" s="8"/>
      <c r="CD3416" s="8"/>
    </row>
    <row r="3417" spans="73:82" ht="15.75">
      <c r="BU3417" s="8"/>
      <c r="BZ3417" s="8"/>
      <c r="CD3417" s="8"/>
    </row>
    <row r="3418" spans="73:82" ht="15.75">
      <c r="BU3418" s="8"/>
      <c r="BZ3418" s="8"/>
      <c r="CD3418" s="8"/>
    </row>
    <row r="3419" spans="73:82" ht="15.75">
      <c r="BU3419" s="8"/>
      <c r="BZ3419" s="8"/>
      <c r="CD3419" s="8"/>
    </row>
    <row r="3420" spans="73:82" ht="15.75">
      <c r="BU3420" s="8"/>
      <c r="BZ3420" s="8"/>
      <c r="CD3420" s="8"/>
    </row>
    <row r="3421" spans="73:82" ht="15.75">
      <c r="BU3421" s="8"/>
      <c r="BZ3421" s="8"/>
      <c r="CD3421" s="8"/>
    </row>
    <row r="3422" spans="73:82" ht="15.75">
      <c r="BU3422" s="8"/>
      <c r="BZ3422" s="8"/>
      <c r="CD3422" s="8"/>
    </row>
    <row r="3423" spans="73:82" ht="15.75">
      <c r="BU3423" s="8"/>
      <c r="BZ3423" s="8"/>
      <c r="CD3423" s="8"/>
    </row>
    <row r="3424" spans="73:82" ht="15.75">
      <c r="BU3424" s="8"/>
      <c r="BZ3424" s="8"/>
      <c r="CD3424" s="8"/>
    </row>
    <row r="3425" spans="73:82" ht="15.75">
      <c r="BU3425" s="8"/>
      <c r="BZ3425" s="8"/>
      <c r="CD3425" s="8"/>
    </row>
    <row r="3426" spans="73:82" ht="15.75">
      <c r="BU3426" s="8"/>
      <c r="BZ3426" s="8"/>
      <c r="CD3426" s="8"/>
    </row>
    <row r="3427" spans="73:82" ht="15.75">
      <c r="BU3427" s="8"/>
      <c r="BZ3427" s="8"/>
      <c r="CD3427" s="8"/>
    </row>
    <row r="3428" spans="73:82" ht="15.75">
      <c r="BU3428" s="8"/>
      <c r="BZ3428" s="8"/>
      <c r="CD3428" s="8"/>
    </row>
    <row r="3429" spans="73:82" ht="15.75">
      <c r="BU3429" s="8"/>
      <c r="BZ3429" s="8"/>
      <c r="CD3429" s="8"/>
    </row>
    <row r="3430" spans="73:82" ht="15.75">
      <c r="BU3430" s="8"/>
      <c r="BZ3430" s="8"/>
      <c r="CD3430" s="8"/>
    </row>
    <row r="3431" spans="73:82" ht="15.75">
      <c r="BU3431" s="8"/>
      <c r="BZ3431" s="8"/>
      <c r="CD3431" s="8"/>
    </row>
    <row r="3432" spans="73:82" ht="15.75">
      <c r="BU3432" s="8"/>
      <c r="BZ3432" s="8"/>
      <c r="CD3432" s="8"/>
    </row>
    <row r="3433" spans="73:82" ht="15.75">
      <c r="BU3433" s="8"/>
      <c r="BZ3433" s="8"/>
      <c r="CD3433" s="8"/>
    </row>
    <row r="3434" spans="73:82" ht="15.75">
      <c r="BU3434" s="8"/>
      <c r="BZ3434" s="8"/>
      <c r="CD3434" s="8"/>
    </row>
    <row r="3435" spans="73:82" ht="15.75">
      <c r="BU3435" s="8"/>
      <c r="BZ3435" s="8"/>
      <c r="CD3435" s="8"/>
    </row>
    <row r="3436" spans="73:82" ht="15.75">
      <c r="BU3436" s="8"/>
      <c r="BZ3436" s="8"/>
      <c r="CD3436" s="8"/>
    </row>
    <row r="3437" spans="73:82" ht="15.75">
      <c r="BU3437" s="8"/>
      <c r="BZ3437" s="8"/>
      <c r="CD3437" s="8"/>
    </row>
    <row r="3438" spans="73:82" ht="15.75">
      <c r="BU3438" s="8"/>
      <c r="BZ3438" s="8"/>
      <c r="CD3438" s="8"/>
    </row>
    <row r="3439" spans="73:82" ht="15.75">
      <c r="BU3439" s="8"/>
      <c r="BZ3439" s="8"/>
      <c r="CD3439" s="8"/>
    </row>
    <row r="3440" spans="73:82" ht="15.75">
      <c r="BU3440" s="8"/>
      <c r="BZ3440" s="8"/>
      <c r="CD3440" s="8"/>
    </row>
    <row r="3441" spans="73:82" ht="15.75">
      <c r="BU3441" s="8"/>
      <c r="BZ3441" s="8"/>
      <c r="CD3441" s="8"/>
    </row>
    <row r="3442" spans="73:82" ht="15.75">
      <c r="BU3442" s="8"/>
      <c r="BZ3442" s="8"/>
      <c r="CD3442" s="8"/>
    </row>
    <row r="3443" spans="73:82" ht="15.75">
      <c r="BU3443" s="8"/>
      <c r="BZ3443" s="8"/>
      <c r="CD3443" s="8"/>
    </row>
    <row r="3444" spans="73:82" ht="15.75">
      <c r="BU3444" s="8"/>
      <c r="BZ3444" s="8"/>
      <c r="CD3444" s="8"/>
    </row>
    <row r="3445" spans="73:82" ht="15.75">
      <c r="BU3445" s="8"/>
      <c r="BZ3445" s="8"/>
      <c r="CD3445" s="8"/>
    </row>
    <row r="3446" spans="73:82" ht="15.75">
      <c r="BU3446" s="8"/>
      <c r="BZ3446" s="8"/>
      <c r="CD3446" s="8"/>
    </row>
    <row r="3447" spans="73:82" ht="15.75">
      <c r="BU3447" s="8"/>
      <c r="BZ3447" s="8"/>
      <c r="CD3447" s="8"/>
    </row>
    <row r="3448" spans="73:82" ht="15.75">
      <c r="BU3448" s="8"/>
      <c r="BZ3448" s="8"/>
      <c r="CD3448" s="8"/>
    </row>
    <row r="3449" spans="73:82" ht="15.75">
      <c r="BU3449" s="8"/>
      <c r="BZ3449" s="8"/>
      <c r="CD3449" s="8"/>
    </row>
    <row r="3450" spans="73:82" ht="15.75">
      <c r="BU3450" s="8"/>
      <c r="BZ3450" s="8"/>
      <c r="CD3450" s="8"/>
    </row>
    <row r="3451" spans="73:82" ht="15.75">
      <c r="BU3451" s="8"/>
      <c r="BZ3451" s="8"/>
      <c r="CD3451" s="8"/>
    </row>
    <row r="3452" spans="73:82" ht="15.75">
      <c r="BU3452" s="8"/>
      <c r="BZ3452" s="8"/>
      <c r="CD3452" s="8"/>
    </row>
    <row r="3453" spans="73:82" ht="15.75">
      <c r="BU3453" s="8"/>
      <c r="BZ3453" s="8"/>
      <c r="CD3453" s="8"/>
    </row>
    <row r="3454" spans="73:82" ht="15.75">
      <c r="BU3454" s="8"/>
      <c r="BZ3454" s="8"/>
      <c r="CD3454" s="8"/>
    </row>
    <row r="3455" spans="73:82" ht="15.75">
      <c r="BU3455" s="8"/>
      <c r="BZ3455" s="8"/>
      <c r="CD3455" s="8"/>
    </row>
    <row r="3456" spans="73:82" ht="15.75">
      <c r="BU3456" s="8"/>
      <c r="BZ3456" s="8"/>
      <c r="CD3456" s="8"/>
    </row>
    <row r="3457" spans="73:82" ht="15.75">
      <c r="BU3457" s="8"/>
      <c r="BZ3457" s="8"/>
      <c r="CD3457" s="8"/>
    </row>
    <row r="3458" spans="73:82" ht="15.75">
      <c r="BU3458" s="8"/>
      <c r="BZ3458" s="8"/>
      <c r="CD3458" s="8"/>
    </row>
    <row r="3459" spans="73:82" ht="15.75">
      <c r="BU3459" s="8"/>
      <c r="BZ3459" s="8"/>
      <c r="CD3459" s="8"/>
    </row>
    <row r="3460" spans="73:82" ht="15.75">
      <c r="BU3460" s="8"/>
      <c r="BZ3460" s="8"/>
      <c r="CD3460" s="8"/>
    </row>
    <row r="3461" spans="73:82" ht="15.75">
      <c r="BU3461" s="8"/>
      <c r="BZ3461" s="8"/>
      <c r="CD3461" s="8"/>
    </row>
    <row r="3462" spans="73:82" ht="15.75">
      <c r="BU3462" s="8"/>
      <c r="BZ3462" s="8"/>
      <c r="CD3462" s="8"/>
    </row>
    <row r="3463" spans="73:82" ht="15.75">
      <c r="BU3463" s="8"/>
      <c r="BZ3463" s="8"/>
      <c r="CD3463" s="8"/>
    </row>
    <row r="3464" spans="73:82" ht="15.75">
      <c r="BU3464" s="8"/>
      <c r="BZ3464" s="8"/>
      <c r="CD3464" s="8"/>
    </row>
    <row r="3465" spans="73:82" ht="15.75">
      <c r="BU3465" s="8"/>
      <c r="BZ3465" s="8"/>
      <c r="CD3465" s="8"/>
    </row>
    <row r="3466" spans="73:82" ht="15.75">
      <c r="BU3466" s="8"/>
      <c r="BZ3466" s="8"/>
      <c r="CD3466" s="8"/>
    </row>
    <row r="3467" spans="73:82" ht="15.75">
      <c r="BU3467" s="8"/>
      <c r="BZ3467" s="8"/>
      <c r="CD3467" s="8"/>
    </row>
    <row r="3468" spans="73:82" ht="15.75">
      <c r="BU3468" s="8"/>
      <c r="BZ3468" s="8"/>
      <c r="CD3468" s="8"/>
    </row>
    <row r="3469" spans="73:82" ht="15.75">
      <c r="BU3469" s="8"/>
      <c r="BZ3469" s="8"/>
      <c r="CD3469" s="8"/>
    </row>
    <row r="3470" spans="73:82" ht="15.75">
      <c r="BU3470" s="8"/>
      <c r="BZ3470" s="8"/>
      <c r="CD3470" s="8"/>
    </row>
    <row r="3471" spans="73:82" ht="15.75">
      <c r="BU3471" s="8"/>
      <c r="BZ3471" s="8"/>
      <c r="CD3471" s="8"/>
    </row>
    <row r="3472" spans="73:82" ht="15.75">
      <c r="BU3472" s="8"/>
      <c r="BZ3472" s="8"/>
      <c r="CD3472" s="8"/>
    </row>
    <row r="3473" spans="73:82" ht="15.75">
      <c r="BU3473" s="8"/>
      <c r="BZ3473" s="8"/>
      <c r="CD3473" s="8"/>
    </row>
    <row r="3474" spans="73:82" ht="15.75">
      <c r="BU3474" s="8"/>
      <c r="BZ3474" s="8"/>
      <c r="CD3474" s="8"/>
    </row>
    <row r="3475" spans="73:82" ht="15.75">
      <c r="BU3475" s="8"/>
      <c r="BZ3475" s="8"/>
      <c r="CD3475" s="8"/>
    </row>
    <row r="3476" spans="73:82" ht="15.75">
      <c r="BU3476" s="8"/>
      <c r="BZ3476" s="8"/>
      <c r="CD3476" s="8"/>
    </row>
    <row r="3477" spans="73:82" ht="15.75">
      <c r="BU3477" s="8"/>
      <c r="BZ3477" s="8"/>
      <c r="CD3477" s="8"/>
    </row>
    <row r="3478" spans="73:82" ht="15.75">
      <c r="BU3478" s="8"/>
      <c r="BZ3478" s="8"/>
      <c r="CD3478" s="8"/>
    </row>
    <row r="3479" spans="73:82" ht="15.75">
      <c r="BU3479" s="8"/>
      <c r="BZ3479" s="8"/>
      <c r="CD3479" s="8"/>
    </row>
    <row r="3480" spans="73:82" ht="15.75">
      <c r="BU3480" s="8"/>
      <c r="BZ3480" s="8"/>
      <c r="CD3480" s="8"/>
    </row>
    <row r="3481" spans="73:82" ht="15.75">
      <c r="BU3481" s="8"/>
      <c r="BZ3481" s="8"/>
      <c r="CD3481" s="8"/>
    </row>
    <row r="3482" spans="73:82" ht="15.75">
      <c r="BU3482" s="8"/>
      <c r="BZ3482" s="8"/>
      <c r="CD3482" s="8"/>
    </row>
    <row r="3483" spans="73:82" ht="15.75">
      <c r="BU3483" s="8"/>
      <c r="BZ3483" s="8"/>
      <c r="CD3483" s="8"/>
    </row>
    <row r="3484" spans="73:82" ht="15.75">
      <c r="BU3484" s="8"/>
      <c r="BZ3484" s="8"/>
      <c r="CD3484" s="8"/>
    </row>
    <row r="3485" spans="73:82" ht="15.75">
      <c r="BU3485" s="8"/>
      <c r="BZ3485" s="8"/>
      <c r="CD3485" s="8"/>
    </row>
    <row r="3486" spans="73:82" ht="15.75">
      <c r="BU3486" s="8"/>
      <c r="BZ3486" s="8"/>
      <c r="CD3486" s="8"/>
    </row>
    <row r="3487" spans="73:82" ht="15.75">
      <c r="BU3487" s="8"/>
      <c r="BZ3487" s="8"/>
      <c r="CD3487" s="8"/>
    </row>
    <row r="3488" spans="73:82" ht="15.75">
      <c r="BU3488" s="8"/>
      <c r="BZ3488" s="8"/>
      <c r="CD3488" s="8"/>
    </row>
    <row r="3489" spans="73:82" ht="15.75">
      <c r="BU3489" s="8"/>
      <c r="BZ3489" s="8"/>
      <c r="CD3489" s="8"/>
    </row>
    <row r="3490" spans="73:82" ht="15.75">
      <c r="BU3490" s="8"/>
      <c r="BZ3490" s="8"/>
      <c r="CD3490" s="8"/>
    </row>
    <row r="3491" spans="73:82" ht="15.75">
      <c r="BU3491" s="8"/>
      <c r="BZ3491" s="8"/>
      <c r="CD3491" s="8"/>
    </row>
    <row r="3492" spans="73:82" ht="15.75">
      <c r="BU3492" s="8"/>
      <c r="BZ3492" s="8"/>
      <c r="CD3492" s="8"/>
    </row>
    <row r="3493" spans="73:82" ht="15.75">
      <c r="BU3493" s="8"/>
      <c r="BZ3493" s="8"/>
      <c r="CD3493" s="8"/>
    </row>
    <row r="3494" spans="73:82" ht="15.75">
      <c r="BU3494" s="8"/>
      <c r="BZ3494" s="8"/>
      <c r="CD3494" s="8"/>
    </row>
    <row r="3495" spans="73:82" ht="15.75">
      <c r="BU3495" s="8"/>
      <c r="BZ3495" s="8"/>
      <c r="CD3495" s="8"/>
    </row>
    <row r="3496" spans="73:82" ht="15.75">
      <c r="BU3496" s="8"/>
      <c r="BZ3496" s="8"/>
      <c r="CD3496" s="8"/>
    </row>
    <row r="3497" spans="73:82" ht="15.75">
      <c r="BU3497" s="8"/>
      <c r="BZ3497" s="8"/>
      <c r="CD3497" s="8"/>
    </row>
    <row r="3498" spans="73:82" ht="15.75">
      <c r="BU3498" s="8"/>
      <c r="BZ3498" s="8"/>
      <c r="CD3498" s="8"/>
    </row>
    <row r="3499" spans="73:82" ht="15.75">
      <c r="BU3499" s="8"/>
      <c r="BZ3499" s="8"/>
      <c r="CD3499" s="8"/>
    </row>
    <row r="3500" spans="73:82" ht="15.75">
      <c r="BU3500" s="8"/>
      <c r="BZ3500" s="8"/>
      <c r="CD3500" s="8"/>
    </row>
    <row r="3501" spans="73:82" ht="15.75">
      <c r="BU3501" s="8"/>
      <c r="BZ3501" s="8"/>
      <c r="CD3501" s="8"/>
    </row>
    <row r="3502" spans="73:82" ht="15.75">
      <c r="BU3502" s="8"/>
      <c r="BZ3502" s="8"/>
      <c r="CD3502" s="8"/>
    </row>
    <row r="3503" spans="73:82" ht="15.75">
      <c r="BU3503" s="8"/>
      <c r="BZ3503" s="8"/>
      <c r="CD3503" s="8"/>
    </row>
    <row r="3504" spans="73:82" ht="15.75">
      <c r="BU3504" s="8"/>
      <c r="BZ3504" s="8"/>
      <c r="CD3504" s="8"/>
    </row>
    <row r="3505" spans="73:82" ht="15.75">
      <c r="BU3505" s="8"/>
      <c r="BZ3505" s="8"/>
      <c r="CD3505" s="8"/>
    </row>
    <row r="3506" spans="73:82" ht="15.75">
      <c r="BU3506" s="8"/>
      <c r="BZ3506" s="8"/>
      <c r="CD3506" s="8"/>
    </row>
    <row r="3507" spans="73:82" ht="15.75">
      <c r="BU3507" s="8"/>
      <c r="BZ3507" s="8"/>
      <c r="CD3507" s="8"/>
    </row>
    <row r="3508" spans="73:82" ht="15.75">
      <c r="BU3508" s="8"/>
      <c r="BZ3508" s="8"/>
      <c r="CD3508" s="8"/>
    </row>
    <row r="3509" spans="73:82" ht="15.75">
      <c r="BU3509" s="8"/>
      <c r="BZ3509" s="8"/>
      <c r="CD3509" s="8"/>
    </row>
    <row r="3510" spans="73:82" ht="15.75">
      <c r="BU3510" s="8"/>
      <c r="BZ3510" s="8"/>
      <c r="CD3510" s="8"/>
    </row>
    <row r="3511" spans="73:82" ht="15.75">
      <c r="BU3511" s="8"/>
      <c r="BZ3511" s="8"/>
      <c r="CD3511" s="8"/>
    </row>
    <row r="3512" spans="73:82" ht="15.75">
      <c r="BU3512" s="8"/>
      <c r="BZ3512" s="8"/>
      <c r="CD3512" s="8"/>
    </row>
    <row r="3513" spans="73:82" ht="15.75">
      <c r="BU3513" s="8"/>
      <c r="BZ3513" s="8"/>
      <c r="CD3513" s="8"/>
    </row>
    <row r="3514" spans="73:82" ht="15.75">
      <c r="BU3514" s="8"/>
      <c r="BZ3514" s="8"/>
      <c r="CD3514" s="8"/>
    </row>
    <row r="3515" spans="73:82" ht="15.75">
      <c r="BU3515" s="8"/>
      <c r="BZ3515" s="8"/>
      <c r="CD3515" s="8"/>
    </row>
    <row r="3516" spans="73:82" ht="15.75">
      <c r="BU3516" s="8"/>
      <c r="BZ3516" s="8"/>
      <c r="CD3516" s="8"/>
    </row>
    <row r="3517" spans="73:82" ht="15.75">
      <c r="BU3517" s="8"/>
      <c r="BZ3517" s="8"/>
      <c r="CD3517" s="8"/>
    </row>
    <row r="3518" spans="73:82" ht="15.75">
      <c r="BU3518" s="8"/>
      <c r="BZ3518" s="8"/>
      <c r="CD3518" s="8"/>
    </row>
    <row r="3519" spans="73:82" ht="15.75">
      <c r="BU3519" s="8"/>
      <c r="BZ3519" s="8"/>
      <c r="CD3519" s="8"/>
    </row>
    <row r="3520" spans="73:82" ht="15.75">
      <c r="BU3520" s="8"/>
      <c r="BZ3520" s="8"/>
      <c r="CD3520" s="8"/>
    </row>
    <row r="3521" spans="73:82" ht="15.75">
      <c r="BU3521" s="8"/>
      <c r="BZ3521" s="8"/>
      <c r="CD3521" s="8"/>
    </row>
    <row r="3522" spans="73:82" ht="15.75">
      <c r="BU3522" s="8"/>
      <c r="BZ3522" s="8"/>
      <c r="CD3522" s="8"/>
    </row>
    <row r="3523" spans="73:82" ht="15.75">
      <c r="BU3523" s="8"/>
      <c r="BZ3523" s="8"/>
      <c r="CD3523" s="8"/>
    </row>
    <row r="3524" spans="73:82" ht="15.75">
      <c r="BU3524" s="8"/>
      <c r="BZ3524" s="8"/>
      <c r="CD3524" s="8"/>
    </row>
    <row r="3525" spans="73:82" ht="15.75">
      <c r="BU3525" s="8"/>
      <c r="BZ3525" s="8"/>
      <c r="CD3525" s="8"/>
    </row>
    <row r="3526" spans="73:82" ht="15.75">
      <c r="BU3526" s="8"/>
      <c r="BZ3526" s="8"/>
      <c r="CD3526" s="8"/>
    </row>
    <row r="3527" spans="73:82" ht="15.75">
      <c r="BU3527" s="8"/>
      <c r="BZ3527" s="8"/>
      <c r="CD3527" s="8"/>
    </row>
    <row r="3528" spans="73:82" ht="15.75">
      <c r="BU3528" s="8"/>
      <c r="BZ3528" s="8"/>
      <c r="CD3528" s="8"/>
    </row>
    <row r="3529" spans="73:82" ht="15.75">
      <c r="BU3529" s="8"/>
      <c r="BZ3529" s="8"/>
      <c r="CD3529" s="8"/>
    </row>
    <row r="3530" spans="73:82" ht="15.75">
      <c r="BU3530" s="8"/>
      <c r="BZ3530" s="8"/>
      <c r="CD3530" s="8"/>
    </row>
    <row r="3531" spans="73:82" ht="15.75">
      <c r="BU3531" s="8"/>
      <c r="BZ3531" s="8"/>
      <c r="CD3531" s="8"/>
    </row>
    <row r="3532" spans="73:82" ht="15.75">
      <c r="BU3532" s="8"/>
      <c r="BZ3532" s="8"/>
      <c r="CD3532" s="8"/>
    </row>
    <row r="3533" spans="73:82" ht="15.75">
      <c r="BU3533" s="8"/>
      <c r="BZ3533" s="8"/>
      <c r="CD3533" s="8"/>
    </row>
    <row r="3534" spans="73:82" ht="15.75">
      <c r="BU3534" s="8"/>
      <c r="BZ3534" s="8"/>
      <c r="CD3534" s="8"/>
    </row>
    <row r="3535" spans="73:82" ht="15.75">
      <c r="BU3535" s="8"/>
      <c r="BZ3535" s="8"/>
      <c r="CD3535" s="8"/>
    </row>
    <row r="3536" spans="73:82" ht="15.75">
      <c r="BU3536" s="8"/>
      <c r="BZ3536" s="8"/>
      <c r="CD3536" s="8"/>
    </row>
    <row r="3537" spans="73:82" ht="15.75">
      <c r="BU3537" s="8"/>
      <c r="BZ3537" s="8"/>
      <c r="CD3537" s="8"/>
    </row>
    <row r="3538" spans="73:82" ht="15.75">
      <c r="BU3538" s="8"/>
      <c r="BZ3538" s="8"/>
      <c r="CD3538" s="8"/>
    </row>
    <row r="3539" spans="73:82" ht="15.75">
      <c r="BU3539" s="8"/>
      <c r="BZ3539" s="8"/>
      <c r="CD3539" s="8"/>
    </row>
    <row r="3540" spans="73:82" ht="15.75">
      <c r="BU3540" s="8"/>
      <c r="BZ3540" s="8"/>
      <c r="CD3540" s="8"/>
    </row>
    <row r="3541" spans="73:82" ht="15.75">
      <c r="BU3541" s="8"/>
      <c r="BZ3541" s="8"/>
      <c r="CD3541" s="8"/>
    </row>
    <row r="3542" spans="73:82" ht="15.75">
      <c r="BU3542" s="8"/>
      <c r="BZ3542" s="8"/>
      <c r="CD3542" s="8"/>
    </row>
    <row r="3543" spans="73:82" ht="15.75">
      <c r="BU3543" s="8"/>
      <c r="BZ3543" s="8"/>
      <c r="CD3543" s="8"/>
    </row>
    <row r="3544" spans="73:82" ht="15.75">
      <c r="BU3544" s="8"/>
      <c r="BZ3544" s="8"/>
      <c r="CD3544" s="8"/>
    </row>
    <row r="3545" spans="73:82" ht="15.75">
      <c r="BU3545" s="8"/>
      <c r="BZ3545" s="8"/>
      <c r="CD3545" s="8"/>
    </row>
    <row r="3546" spans="73:82" ht="15.75">
      <c r="BU3546" s="8"/>
      <c r="BZ3546" s="8"/>
      <c r="CD3546" s="8"/>
    </row>
    <row r="3547" spans="73:82" ht="15.75">
      <c r="BU3547" s="8"/>
      <c r="BZ3547" s="8"/>
      <c r="CD3547" s="8"/>
    </row>
    <row r="3548" spans="73:82" ht="15.75">
      <c r="BU3548" s="8"/>
      <c r="BZ3548" s="8"/>
      <c r="CD3548" s="8"/>
    </row>
    <row r="3549" spans="73:82" ht="15.75">
      <c r="BU3549" s="8"/>
      <c r="BZ3549" s="8"/>
      <c r="CD3549" s="8"/>
    </row>
    <row r="3550" spans="73:82" ht="15.75">
      <c r="BU3550" s="8"/>
      <c r="BZ3550" s="8"/>
      <c r="CD3550" s="8"/>
    </row>
    <row r="3551" spans="73:82" ht="15.75">
      <c r="BU3551" s="8"/>
      <c r="BZ3551" s="8"/>
      <c r="CD3551" s="8"/>
    </row>
    <row r="3552" spans="73:82" ht="15.75">
      <c r="BU3552" s="8"/>
      <c r="BZ3552" s="8"/>
      <c r="CD3552" s="8"/>
    </row>
    <row r="3553" spans="73:82" ht="15.75">
      <c r="BU3553" s="8"/>
      <c r="BZ3553" s="8"/>
      <c r="CD3553" s="8"/>
    </row>
    <row r="3554" spans="73:82" ht="15.75">
      <c r="BU3554" s="8"/>
      <c r="BZ3554" s="8"/>
      <c r="CD3554" s="8"/>
    </row>
    <row r="3555" spans="73:82" ht="15.75">
      <c r="BU3555" s="8"/>
      <c r="BZ3555" s="8"/>
      <c r="CD3555" s="8"/>
    </row>
    <row r="3556" spans="73:82" ht="15.75">
      <c r="BU3556" s="8"/>
      <c r="BZ3556" s="8"/>
      <c r="CD3556" s="8"/>
    </row>
    <row r="3557" spans="73:82" ht="15.75">
      <c r="BU3557" s="8"/>
      <c r="BZ3557" s="8"/>
      <c r="CD3557" s="8"/>
    </row>
    <row r="3558" spans="73:82" ht="15.75">
      <c r="BU3558" s="8"/>
      <c r="BZ3558" s="8"/>
      <c r="CD3558" s="8"/>
    </row>
    <row r="3559" spans="73:82" ht="15.75">
      <c r="BU3559" s="8"/>
      <c r="BZ3559" s="8"/>
      <c r="CD3559" s="8"/>
    </row>
    <row r="3560" spans="73:82" ht="15.75">
      <c r="BU3560" s="8"/>
      <c r="BZ3560" s="8"/>
      <c r="CD3560" s="8"/>
    </row>
    <row r="3561" spans="73:82" ht="15.75">
      <c r="BU3561" s="8"/>
      <c r="BZ3561" s="8"/>
      <c r="CD3561" s="8"/>
    </row>
    <row r="3562" spans="73:82" ht="15.75">
      <c r="BU3562" s="8"/>
      <c r="BZ3562" s="8"/>
      <c r="CD3562" s="8"/>
    </row>
    <row r="3563" spans="73:82" ht="15.75">
      <c r="BU3563" s="8"/>
      <c r="BZ3563" s="8"/>
      <c r="CD3563" s="8"/>
    </row>
    <row r="3564" spans="73:82" ht="15.75">
      <c r="BU3564" s="8"/>
      <c r="BZ3564" s="8"/>
      <c r="CD3564" s="8"/>
    </row>
    <row r="3565" spans="73:82" ht="15.75">
      <c r="BU3565" s="8"/>
      <c r="BZ3565" s="8"/>
      <c r="CD3565" s="8"/>
    </row>
    <row r="3566" spans="73:82" ht="15.75">
      <c r="BU3566" s="8"/>
      <c r="BZ3566" s="8"/>
      <c r="CD3566" s="8"/>
    </row>
    <row r="3567" spans="73:82" ht="15.75">
      <c r="BU3567" s="8"/>
      <c r="BZ3567" s="8"/>
      <c r="CD3567" s="8"/>
    </row>
    <row r="3568" spans="73:82" ht="15.75">
      <c r="BU3568" s="8"/>
      <c r="BZ3568" s="8"/>
      <c r="CD3568" s="8"/>
    </row>
    <row r="3569" spans="73:82" ht="15.75">
      <c r="BU3569" s="8"/>
      <c r="BZ3569" s="8"/>
      <c r="CD3569" s="8"/>
    </row>
    <row r="3570" spans="73:82" ht="15.75">
      <c r="BU3570" s="8"/>
      <c r="BZ3570" s="8"/>
      <c r="CD3570" s="8"/>
    </row>
    <row r="3571" spans="73:82" ht="15.75">
      <c r="BU3571" s="8"/>
      <c r="BZ3571" s="8"/>
      <c r="CD3571" s="8"/>
    </row>
    <row r="3572" spans="73:82" ht="15.75">
      <c r="BU3572" s="8"/>
      <c r="BZ3572" s="8"/>
      <c r="CD3572" s="8"/>
    </row>
    <row r="3573" spans="73:82" ht="15.75">
      <c r="BU3573" s="8"/>
      <c r="BZ3573" s="8"/>
      <c r="CD3573" s="8"/>
    </row>
    <row r="3574" spans="73:82" ht="15.75">
      <c r="BU3574" s="8"/>
      <c r="BZ3574" s="8"/>
      <c r="CD3574" s="8"/>
    </row>
    <row r="3575" spans="73:82" ht="15.75">
      <c r="BU3575" s="8"/>
      <c r="BZ3575" s="8"/>
      <c r="CD3575" s="8"/>
    </row>
    <row r="3576" spans="73:82" ht="15.75">
      <c r="BU3576" s="8"/>
      <c r="BZ3576" s="8"/>
      <c r="CD3576" s="8"/>
    </row>
    <row r="3577" spans="73:82" ht="15.75">
      <c r="BU3577" s="8"/>
      <c r="BZ3577" s="8"/>
      <c r="CD3577" s="8"/>
    </row>
    <row r="3578" spans="73:82" ht="15.75">
      <c r="BU3578" s="8"/>
      <c r="BZ3578" s="8"/>
      <c r="CD3578" s="8"/>
    </row>
    <row r="3579" spans="73:82" ht="15.75">
      <c r="BU3579" s="8"/>
      <c r="BZ3579" s="8"/>
      <c r="CD3579" s="8"/>
    </row>
    <row r="3580" spans="73:82" ht="15.75">
      <c r="BU3580" s="8"/>
      <c r="BZ3580" s="8"/>
      <c r="CD3580" s="8"/>
    </row>
    <row r="3581" spans="73:82" ht="15.75">
      <c r="BU3581" s="8"/>
      <c r="BZ3581" s="8"/>
      <c r="CD3581" s="8"/>
    </row>
    <row r="3582" spans="73:82" ht="15.75">
      <c r="BU3582" s="8"/>
      <c r="BZ3582" s="8"/>
      <c r="CD3582" s="8"/>
    </row>
    <row r="3583" spans="73:82" ht="15.75">
      <c r="BU3583" s="8"/>
      <c r="BZ3583" s="8"/>
      <c r="CD3583" s="8"/>
    </row>
    <row r="3584" spans="73:82" ht="15.75">
      <c r="BU3584" s="8"/>
      <c r="BZ3584" s="8"/>
      <c r="CD3584" s="8"/>
    </row>
    <row r="3585" spans="73:82" ht="15.75">
      <c r="BU3585" s="8"/>
      <c r="BZ3585" s="8"/>
      <c r="CD3585" s="8"/>
    </row>
    <row r="3586" spans="73:82" ht="15.75">
      <c r="BU3586" s="8"/>
      <c r="BZ3586" s="8"/>
      <c r="CD3586" s="8"/>
    </row>
    <row r="3587" spans="73:82" ht="15.75">
      <c r="BU3587" s="8"/>
      <c r="BZ3587" s="8"/>
      <c r="CD3587" s="8"/>
    </row>
    <row r="3588" spans="73:82" ht="15.75">
      <c r="BU3588" s="8"/>
      <c r="BZ3588" s="8"/>
      <c r="CD3588" s="8"/>
    </row>
    <row r="3589" spans="73:82" ht="15.75">
      <c r="BU3589" s="8"/>
      <c r="BZ3589" s="8"/>
      <c r="CD3589" s="8"/>
    </row>
    <row r="3590" spans="73:82" ht="15.75">
      <c r="BU3590" s="8"/>
      <c r="BZ3590" s="8"/>
      <c r="CD3590" s="8"/>
    </row>
    <row r="3591" spans="73:82" ht="15.75">
      <c r="BU3591" s="8"/>
      <c r="BZ3591" s="8"/>
      <c r="CD3591" s="8"/>
    </row>
    <row r="3592" spans="73:82" ht="15.75">
      <c r="BU3592" s="8"/>
      <c r="BZ3592" s="8"/>
      <c r="CD3592" s="8"/>
    </row>
    <row r="3593" spans="73:82" ht="15.75">
      <c r="BU3593" s="8"/>
      <c r="BZ3593" s="8"/>
      <c r="CD3593" s="8"/>
    </row>
    <row r="3594" spans="73:82" ht="15.75">
      <c r="BU3594" s="8"/>
      <c r="BZ3594" s="8"/>
      <c r="CD3594" s="8"/>
    </row>
    <row r="3595" spans="73:82" ht="15.75">
      <c r="BU3595" s="8"/>
      <c r="BZ3595" s="8"/>
      <c r="CD3595" s="8"/>
    </row>
    <row r="3596" spans="73:82" ht="15.75">
      <c r="BU3596" s="8"/>
      <c r="BZ3596" s="8"/>
      <c r="CD3596" s="8"/>
    </row>
    <row r="3597" spans="73:82" ht="15.75">
      <c r="BU3597" s="8"/>
      <c r="BZ3597" s="8"/>
      <c r="CD3597" s="8"/>
    </row>
    <row r="3598" spans="73:82" ht="15.75">
      <c r="BU3598" s="8"/>
      <c r="BZ3598" s="8"/>
      <c r="CD3598" s="8"/>
    </row>
    <row r="3599" spans="73:82" ht="15.75">
      <c r="BU3599" s="8"/>
      <c r="BZ3599" s="8"/>
      <c r="CD3599" s="8"/>
    </row>
    <row r="3600" spans="73:82" ht="15.75">
      <c r="BU3600" s="8"/>
      <c r="BZ3600" s="8"/>
      <c r="CD3600" s="8"/>
    </row>
    <row r="3601" spans="73:82" ht="15.75">
      <c r="BU3601" s="8"/>
      <c r="BZ3601" s="8"/>
      <c r="CD3601" s="8"/>
    </row>
    <row r="3602" spans="73:82" ht="15.75">
      <c r="BU3602" s="8"/>
      <c r="BZ3602" s="8"/>
      <c r="CD3602" s="8"/>
    </row>
    <row r="3603" spans="73:82" ht="15.75">
      <c r="BU3603" s="8"/>
      <c r="BZ3603" s="8"/>
      <c r="CD3603" s="8"/>
    </row>
    <row r="3604" spans="73:82" ht="15.75">
      <c r="BU3604" s="8"/>
      <c r="BZ3604" s="8"/>
      <c r="CD3604" s="8"/>
    </row>
    <row r="3605" spans="73:82" ht="15.75">
      <c r="BU3605" s="8"/>
      <c r="BZ3605" s="8"/>
      <c r="CD3605" s="8"/>
    </row>
    <row r="3606" spans="73:82" ht="15.75">
      <c r="BU3606" s="8"/>
      <c r="BZ3606" s="8"/>
      <c r="CD3606" s="8"/>
    </row>
    <row r="3607" spans="73:82" ht="15.75">
      <c r="BU3607" s="8"/>
      <c r="BZ3607" s="8"/>
      <c r="CD3607" s="8"/>
    </row>
    <row r="3608" spans="73:82" ht="15.75">
      <c r="BU3608" s="8"/>
      <c r="BZ3608" s="8"/>
      <c r="CD3608" s="8"/>
    </row>
    <row r="3609" spans="73:82" ht="15.75">
      <c r="BU3609" s="8"/>
      <c r="BZ3609" s="8"/>
      <c r="CD3609" s="8"/>
    </row>
    <row r="3610" spans="73:82" ht="15.75">
      <c r="BU3610" s="8"/>
      <c r="BZ3610" s="8"/>
      <c r="CD3610" s="8"/>
    </row>
    <row r="3611" spans="73:82" ht="15.75">
      <c r="BU3611" s="8"/>
      <c r="BZ3611" s="8"/>
      <c r="CD3611" s="8"/>
    </row>
    <row r="3612" spans="73:82" ht="15.75">
      <c r="BU3612" s="8"/>
      <c r="BZ3612" s="8"/>
      <c r="CD3612" s="8"/>
    </row>
    <row r="3613" spans="73:82" ht="15.75">
      <c r="BU3613" s="8"/>
      <c r="BZ3613" s="8"/>
      <c r="CD3613" s="8"/>
    </row>
    <row r="3614" spans="73:82" ht="15.75">
      <c r="BU3614" s="8"/>
      <c r="BZ3614" s="8"/>
      <c r="CD3614" s="8"/>
    </row>
    <row r="3615" spans="73:82" ht="15.75">
      <c r="BU3615" s="8"/>
      <c r="BZ3615" s="8"/>
      <c r="CD3615" s="8"/>
    </row>
    <row r="3616" spans="73:82" ht="15.75">
      <c r="BU3616" s="8"/>
      <c r="BZ3616" s="8"/>
      <c r="CD3616" s="8"/>
    </row>
    <row r="3617" spans="73:82" ht="15.75">
      <c r="BU3617" s="8"/>
      <c r="BZ3617" s="8"/>
      <c r="CD3617" s="8"/>
    </row>
    <row r="3618" spans="73:82" ht="15.75">
      <c r="BU3618" s="8"/>
      <c r="BZ3618" s="8"/>
      <c r="CD3618" s="8"/>
    </row>
    <row r="3619" spans="73:82" ht="15.75">
      <c r="BU3619" s="8"/>
      <c r="BZ3619" s="8"/>
      <c r="CD3619" s="8"/>
    </row>
    <row r="3620" spans="73:82" ht="15.75">
      <c r="BU3620" s="8"/>
      <c r="BZ3620" s="8"/>
      <c r="CD3620" s="8"/>
    </row>
    <row r="3621" spans="73:82" ht="15.75">
      <c r="BU3621" s="8"/>
      <c r="BZ3621" s="8"/>
      <c r="CD3621" s="8"/>
    </row>
    <row r="3622" spans="73:82" ht="15.75">
      <c r="BU3622" s="8"/>
      <c r="BZ3622" s="8"/>
      <c r="CD3622" s="8"/>
    </row>
    <row r="3623" spans="73:82" ht="15.75">
      <c r="BU3623" s="8"/>
      <c r="BZ3623" s="8"/>
      <c r="CD3623" s="8"/>
    </row>
    <row r="3624" spans="73:82" ht="15.75">
      <c r="BU3624" s="8"/>
      <c r="BZ3624" s="8"/>
      <c r="CD3624" s="8"/>
    </row>
    <row r="3625" spans="73:82" ht="15.75">
      <c r="BU3625" s="8"/>
      <c r="BZ3625" s="8"/>
      <c r="CD3625" s="8"/>
    </row>
    <row r="3626" spans="73:82" ht="15.75">
      <c r="BU3626" s="8"/>
      <c r="BZ3626" s="8"/>
      <c r="CD3626" s="8"/>
    </row>
    <row r="3627" spans="73:82" ht="15.75">
      <c r="BU3627" s="8"/>
      <c r="BZ3627" s="8"/>
      <c r="CD3627" s="8"/>
    </row>
    <row r="3628" spans="73:82" ht="15.75">
      <c r="BU3628" s="8"/>
      <c r="BZ3628" s="8"/>
      <c r="CD3628" s="8"/>
    </row>
    <row r="3629" spans="73:82" ht="15.75">
      <c r="BU3629" s="8"/>
      <c r="BZ3629" s="8"/>
      <c r="CD3629" s="8"/>
    </row>
    <row r="3630" spans="73:82" ht="15.75">
      <c r="BU3630" s="8"/>
      <c r="BZ3630" s="8"/>
      <c r="CD3630" s="8"/>
    </row>
    <row r="3631" spans="73:82" ht="15.75">
      <c r="BU3631" s="8"/>
      <c r="BZ3631" s="8"/>
      <c r="CD3631" s="8"/>
    </row>
    <row r="3632" spans="73:82" ht="15.75">
      <c r="BU3632" s="8"/>
      <c r="BZ3632" s="8"/>
      <c r="CD3632" s="8"/>
    </row>
    <row r="3633" spans="73:82" ht="15.75">
      <c r="BU3633" s="8"/>
      <c r="BZ3633" s="8"/>
      <c r="CD3633" s="8"/>
    </row>
    <row r="3634" spans="73:82" ht="15.75">
      <c r="BU3634" s="8"/>
      <c r="BZ3634" s="8"/>
      <c r="CD3634" s="8"/>
    </row>
    <row r="3635" spans="73:82" ht="15.75">
      <c r="BU3635" s="8"/>
      <c r="BZ3635" s="8"/>
      <c r="CD3635" s="8"/>
    </row>
    <row r="3636" spans="73:82" ht="15.75">
      <c r="BU3636" s="8"/>
      <c r="BZ3636" s="8"/>
      <c r="CD3636" s="8"/>
    </row>
    <row r="3637" spans="73:82" ht="15.75">
      <c r="BU3637" s="8"/>
      <c r="BZ3637" s="8"/>
      <c r="CD3637" s="8"/>
    </row>
    <row r="3638" spans="73:82" ht="15.75">
      <c r="BU3638" s="8"/>
      <c r="BZ3638" s="8"/>
      <c r="CD3638" s="8"/>
    </row>
    <row r="3639" spans="73:82" ht="15.75">
      <c r="BU3639" s="8"/>
      <c r="BZ3639" s="8"/>
      <c r="CD3639" s="8"/>
    </row>
    <row r="3640" spans="73:82" ht="15.75">
      <c r="BU3640" s="8"/>
      <c r="BZ3640" s="8"/>
      <c r="CD3640" s="8"/>
    </row>
    <row r="3641" spans="73:82" ht="15.75">
      <c r="BU3641" s="8"/>
      <c r="BZ3641" s="8"/>
      <c r="CD3641" s="8"/>
    </row>
    <row r="3642" spans="73:82" ht="15.75">
      <c r="BU3642" s="8"/>
      <c r="BZ3642" s="8"/>
      <c r="CD3642" s="8"/>
    </row>
    <row r="3643" spans="73:82" ht="15.75">
      <c r="BU3643" s="8"/>
      <c r="BZ3643" s="8"/>
      <c r="CD3643" s="8"/>
    </row>
    <row r="3644" spans="73:82" ht="15.75">
      <c r="BU3644" s="8"/>
      <c r="BZ3644" s="8"/>
      <c r="CD3644" s="8"/>
    </row>
    <row r="3645" spans="73:82" ht="15.75">
      <c r="BU3645" s="8"/>
      <c r="BZ3645" s="8"/>
      <c r="CD3645" s="8"/>
    </row>
    <row r="3646" spans="73:82" ht="15.75">
      <c r="BU3646" s="8"/>
      <c r="BZ3646" s="8"/>
      <c r="CD3646" s="8"/>
    </row>
    <row r="3647" spans="73:82" ht="15.75">
      <c r="BU3647" s="8"/>
      <c r="BZ3647" s="8"/>
      <c r="CD3647" s="8"/>
    </row>
    <row r="3648" spans="73:82" ht="15.75">
      <c r="BU3648" s="8"/>
      <c r="BZ3648" s="8"/>
      <c r="CD3648" s="8"/>
    </row>
    <row r="3649" spans="73:82" ht="15.75">
      <c r="BU3649" s="8"/>
      <c r="BZ3649" s="8"/>
      <c r="CD3649" s="8"/>
    </row>
    <row r="3650" spans="73:82" ht="15.75">
      <c r="BU3650" s="8"/>
      <c r="BZ3650" s="8"/>
      <c r="CD3650" s="8"/>
    </row>
    <row r="3651" spans="73:82" ht="15.75">
      <c r="BU3651" s="8"/>
      <c r="BZ3651" s="8"/>
      <c r="CD3651" s="8"/>
    </row>
    <row r="3652" spans="73:82" ht="15.75">
      <c r="BU3652" s="8"/>
      <c r="BZ3652" s="8"/>
      <c r="CD3652" s="8"/>
    </row>
    <row r="3653" spans="73:82" ht="15.75">
      <c r="BU3653" s="8"/>
      <c r="BZ3653" s="8"/>
      <c r="CD3653" s="8"/>
    </row>
    <row r="3654" spans="73:82" ht="15.75">
      <c r="BU3654" s="8"/>
      <c r="BZ3654" s="8"/>
      <c r="CD3654" s="8"/>
    </row>
    <row r="3655" spans="73:82" ht="15.75">
      <c r="BU3655" s="8"/>
      <c r="BZ3655" s="8"/>
      <c r="CD3655" s="8"/>
    </row>
    <row r="3656" spans="73:82" ht="15.75">
      <c r="BU3656" s="8"/>
      <c r="BZ3656" s="8"/>
      <c r="CD3656" s="8"/>
    </row>
    <row r="3657" spans="73:82" ht="15.75">
      <c r="BU3657" s="8"/>
      <c r="BZ3657" s="8"/>
      <c r="CD3657" s="8"/>
    </row>
    <row r="3658" spans="73:82" ht="15.75">
      <c r="BU3658" s="8"/>
      <c r="BZ3658" s="8"/>
      <c r="CD3658" s="8"/>
    </row>
    <row r="3659" spans="73:82" ht="15.75">
      <c r="BU3659" s="8"/>
      <c r="BZ3659" s="8"/>
      <c r="CD3659" s="8"/>
    </row>
    <row r="3660" spans="73:82" ht="15.75">
      <c r="BU3660" s="8"/>
      <c r="BZ3660" s="8"/>
      <c r="CD3660" s="8"/>
    </row>
    <row r="3661" spans="73:82" ht="15.75">
      <c r="BU3661" s="8"/>
      <c r="BZ3661" s="8"/>
      <c r="CD3661" s="8"/>
    </row>
    <row r="3662" spans="73:82" ht="15.75">
      <c r="BU3662" s="8"/>
      <c r="BZ3662" s="8"/>
      <c r="CD3662" s="8"/>
    </row>
    <row r="3663" spans="73:82" ht="15.75">
      <c r="BU3663" s="8"/>
      <c r="BZ3663" s="8"/>
      <c r="CD3663" s="8"/>
    </row>
    <row r="3664" spans="73:82" ht="15.75">
      <c r="BU3664" s="8"/>
      <c r="BZ3664" s="8"/>
      <c r="CD3664" s="8"/>
    </row>
    <row r="3665" spans="73:82" ht="15.75">
      <c r="BU3665" s="8"/>
      <c r="BZ3665" s="8"/>
      <c r="CD3665" s="8"/>
    </row>
    <row r="3666" spans="73:82" ht="15.75">
      <c r="BU3666" s="8"/>
      <c r="BZ3666" s="8"/>
      <c r="CD3666" s="8"/>
    </row>
    <row r="3667" spans="73:82" ht="15.75">
      <c r="BU3667" s="8"/>
      <c r="BZ3667" s="8"/>
      <c r="CD3667" s="8"/>
    </row>
    <row r="3668" spans="73:82" ht="15.75">
      <c r="BU3668" s="8"/>
      <c r="BZ3668" s="8"/>
      <c r="CD3668" s="8"/>
    </row>
    <row r="3669" spans="73:82" ht="15.75">
      <c r="BU3669" s="8"/>
      <c r="BZ3669" s="8"/>
      <c r="CD3669" s="8"/>
    </row>
    <row r="3670" spans="73:82" ht="15.75">
      <c r="BU3670" s="8"/>
      <c r="BZ3670" s="8"/>
      <c r="CD3670" s="8"/>
    </row>
    <row r="3671" spans="73:82" ht="15.75">
      <c r="BU3671" s="8"/>
      <c r="BZ3671" s="8"/>
      <c r="CD3671" s="8"/>
    </row>
    <row r="3672" spans="73:82" ht="15.75">
      <c r="BU3672" s="8"/>
      <c r="BZ3672" s="8"/>
      <c r="CD3672" s="8"/>
    </row>
    <row r="3673" spans="73:82" ht="15.75">
      <c r="BU3673" s="8"/>
      <c r="BZ3673" s="8"/>
      <c r="CD3673" s="8"/>
    </row>
    <row r="3674" spans="73:82" ht="15.75">
      <c r="BU3674" s="8"/>
      <c r="BZ3674" s="8"/>
      <c r="CD3674" s="8"/>
    </row>
    <row r="3675" spans="73:82" ht="15.75">
      <c r="BU3675" s="8"/>
      <c r="BZ3675" s="8"/>
      <c r="CD3675" s="8"/>
    </row>
    <row r="3676" spans="73:82" ht="15.75">
      <c r="BU3676" s="8"/>
      <c r="BZ3676" s="8"/>
      <c r="CD3676" s="8"/>
    </row>
    <row r="3677" spans="73:82" ht="15.75">
      <c r="BU3677" s="8"/>
      <c r="BZ3677" s="8"/>
      <c r="CD3677" s="8"/>
    </row>
    <row r="3678" spans="73:82" ht="15.75">
      <c r="BU3678" s="8"/>
      <c r="BZ3678" s="8"/>
      <c r="CD3678" s="8"/>
    </row>
    <row r="3679" spans="73:82" ht="15.75">
      <c r="BU3679" s="8"/>
      <c r="BZ3679" s="8"/>
      <c r="CD3679" s="8"/>
    </row>
    <row r="3680" spans="73:82" ht="15.75">
      <c r="BU3680" s="8"/>
      <c r="BZ3680" s="8"/>
      <c r="CD3680" s="8"/>
    </row>
    <row r="3681" spans="73:82" ht="15.75">
      <c r="BU3681" s="8"/>
      <c r="BZ3681" s="8"/>
      <c r="CD3681" s="8"/>
    </row>
    <row r="3682" spans="73:82" ht="15.75">
      <c r="BU3682" s="8"/>
      <c r="BZ3682" s="8"/>
      <c r="CD3682" s="8"/>
    </row>
    <row r="3683" spans="73:82" ht="15.75">
      <c r="BU3683" s="8"/>
      <c r="BZ3683" s="8"/>
      <c r="CD3683" s="8"/>
    </row>
    <row r="3684" spans="73:82" ht="15.75">
      <c r="BU3684" s="8"/>
      <c r="BZ3684" s="8"/>
      <c r="CD3684" s="8"/>
    </row>
    <row r="3685" spans="73:82" ht="15.75">
      <c r="BU3685" s="8"/>
      <c r="BZ3685" s="8"/>
      <c r="CD3685" s="8"/>
    </row>
    <row r="3686" spans="73:82" ht="15.75">
      <c r="BU3686" s="8"/>
      <c r="BZ3686" s="8"/>
      <c r="CD3686" s="8"/>
    </row>
    <row r="3687" spans="73:82" ht="15.75">
      <c r="BU3687" s="8"/>
      <c r="BZ3687" s="8"/>
      <c r="CD3687" s="8"/>
    </row>
    <row r="3688" spans="73:82" ht="15.75">
      <c r="BU3688" s="8"/>
      <c r="BZ3688" s="8"/>
      <c r="CD3688" s="8"/>
    </row>
    <row r="3689" spans="73:82" ht="15.75">
      <c r="BU3689" s="8"/>
      <c r="BZ3689" s="8"/>
      <c r="CD3689" s="8"/>
    </row>
    <row r="3690" spans="73:82" ht="15.75">
      <c r="BU3690" s="8"/>
      <c r="BZ3690" s="8"/>
      <c r="CD3690" s="8"/>
    </row>
    <row r="3691" spans="73:82" ht="15.75">
      <c r="BU3691" s="8"/>
      <c r="BZ3691" s="8"/>
      <c r="CD3691" s="8"/>
    </row>
    <row r="3692" spans="73:82" ht="15.75">
      <c r="BU3692" s="8"/>
      <c r="BZ3692" s="8"/>
      <c r="CD3692" s="8"/>
    </row>
    <row r="3693" spans="73:82" ht="15.75">
      <c r="BU3693" s="8"/>
      <c r="BZ3693" s="8"/>
      <c r="CD3693" s="8"/>
    </row>
    <row r="3694" spans="73:82" ht="15.75">
      <c r="BU3694" s="8"/>
      <c r="BZ3694" s="8"/>
      <c r="CD3694" s="8"/>
    </row>
    <row r="3695" spans="73:82" ht="15.75">
      <c r="BU3695" s="8"/>
      <c r="BZ3695" s="8"/>
      <c r="CD3695" s="8"/>
    </row>
    <row r="3696" spans="73:82" ht="15.75">
      <c r="BU3696" s="8"/>
      <c r="BZ3696" s="8"/>
      <c r="CD3696" s="8"/>
    </row>
    <row r="3697" spans="73:82" ht="15.75">
      <c r="BU3697" s="8"/>
      <c r="BZ3697" s="8"/>
      <c r="CD3697" s="8"/>
    </row>
    <row r="3698" spans="73:82" ht="15.75">
      <c r="BU3698" s="8"/>
      <c r="BZ3698" s="8"/>
      <c r="CD3698" s="8"/>
    </row>
    <row r="3699" spans="73:82" ht="15.75">
      <c r="BU3699" s="8"/>
      <c r="BZ3699" s="8"/>
      <c r="CD3699" s="8"/>
    </row>
    <row r="3700" spans="73:82" ht="15.75">
      <c r="BU3700" s="8"/>
      <c r="BZ3700" s="8"/>
      <c r="CD3700" s="8"/>
    </row>
    <row r="3701" spans="73:82" ht="15.75">
      <c r="BU3701" s="8"/>
      <c r="BZ3701" s="8"/>
      <c r="CD3701" s="8"/>
    </row>
    <row r="3702" spans="73:82" ht="15.75">
      <c r="BU3702" s="8"/>
      <c r="BZ3702" s="8"/>
      <c r="CD3702" s="8"/>
    </row>
    <row r="3703" spans="73:82" ht="15.75">
      <c r="BU3703" s="8"/>
      <c r="BZ3703" s="8"/>
      <c r="CD3703" s="8"/>
    </row>
    <row r="3704" spans="73:82" ht="15.75">
      <c r="BU3704" s="8"/>
      <c r="BZ3704" s="8"/>
      <c r="CD3704" s="8"/>
    </row>
    <row r="3705" spans="73:82" ht="15.75">
      <c r="BU3705" s="8"/>
      <c r="BZ3705" s="8"/>
      <c r="CD3705" s="8"/>
    </row>
    <row r="3706" spans="73:82" ht="15.75">
      <c r="BU3706" s="8"/>
      <c r="BZ3706" s="8"/>
      <c r="CD3706" s="8"/>
    </row>
    <row r="3707" spans="73:82" ht="15.75">
      <c r="BU3707" s="8"/>
      <c r="BZ3707" s="8"/>
      <c r="CD3707" s="8"/>
    </row>
    <row r="3708" spans="73:82" ht="15.75">
      <c r="BU3708" s="8"/>
      <c r="BZ3708" s="8"/>
      <c r="CD3708" s="8"/>
    </row>
    <row r="3709" spans="73:82" ht="15.75">
      <c r="BU3709" s="8"/>
      <c r="BZ3709" s="8"/>
      <c r="CD3709" s="8"/>
    </row>
    <row r="3710" spans="73:82" ht="15.75">
      <c r="BU3710" s="8"/>
      <c r="BZ3710" s="8"/>
      <c r="CD3710" s="8"/>
    </row>
    <row r="3711" spans="73:82" ht="15.75">
      <c r="BU3711" s="8"/>
      <c r="BZ3711" s="8"/>
      <c r="CD3711" s="8"/>
    </row>
    <row r="3712" spans="73:82" ht="15.75">
      <c r="BU3712" s="8"/>
      <c r="BZ3712" s="8"/>
      <c r="CD3712" s="8"/>
    </row>
    <row r="3713" spans="73:82" ht="15.75">
      <c r="BU3713" s="8"/>
      <c r="BZ3713" s="8"/>
      <c r="CD3713" s="8"/>
    </row>
    <row r="3714" spans="73:82" ht="15.75">
      <c r="BU3714" s="8"/>
      <c r="BZ3714" s="8"/>
      <c r="CD3714" s="8"/>
    </row>
    <row r="3715" spans="73:82" ht="15.75">
      <c r="BU3715" s="8"/>
      <c r="BZ3715" s="8"/>
      <c r="CD3715" s="8"/>
    </row>
    <row r="3716" spans="73:82" ht="15.75">
      <c r="BU3716" s="8"/>
      <c r="BZ3716" s="8"/>
      <c r="CD3716" s="8"/>
    </row>
    <row r="3717" spans="73:82" ht="15.75">
      <c r="BU3717" s="8"/>
      <c r="BZ3717" s="8"/>
      <c r="CD3717" s="8"/>
    </row>
    <row r="3718" spans="73:82" ht="15.75">
      <c r="BU3718" s="8"/>
      <c r="BZ3718" s="8"/>
      <c r="CD3718" s="8"/>
    </row>
    <row r="3719" spans="73:82" ht="15.75">
      <c r="BU3719" s="8"/>
      <c r="BZ3719" s="8"/>
      <c r="CD3719" s="8"/>
    </row>
    <row r="3720" spans="73:82" ht="15.75">
      <c r="BU3720" s="8"/>
      <c r="BZ3720" s="8"/>
      <c r="CD3720" s="8"/>
    </row>
    <row r="3721" spans="73:82" ht="15.75">
      <c r="BU3721" s="8"/>
      <c r="BZ3721" s="8"/>
      <c r="CD3721" s="8"/>
    </row>
    <row r="3722" spans="73:82" ht="15.75">
      <c r="BU3722" s="8"/>
      <c r="BZ3722" s="8"/>
      <c r="CD3722" s="8"/>
    </row>
    <row r="3723" spans="73:82" ht="15.75">
      <c r="BU3723" s="8"/>
      <c r="BZ3723" s="8"/>
      <c r="CD3723" s="8"/>
    </row>
    <row r="3724" spans="73:82" ht="15.75">
      <c r="BU3724" s="8"/>
      <c r="BZ3724" s="8"/>
      <c r="CD3724" s="8"/>
    </row>
    <row r="3725" spans="73:82" ht="15.75">
      <c r="BU3725" s="8"/>
      <c r="BZ3725" s="8"/>
      <c r="CD3725" s="8"/>
    </row>
    <row r="3726" spans="73:82" ht="15.75">
      <c r="BU3726" s="8"/>
      <c r="BZ3726" s="8"/>
      <c r="CD3726" s="8"/>
    </row>
    <row r="3727" spans="73:82" ht="15.75">
      <c r="BU3727" s="8"/>
      <c r="BZ3727" s="8"/>
      <c r="CD3727" s="8"/>
    </row>
    <row r="3728" spans="73:82" ht="15.75">
      <c r="BU3728" s="8"/>
      <c r="BZ3728" s="8"/>
      <c r="CD3728" s="8"/>
    </row>
    <row r="3729" spans="73:82" ht="15.75">
      <c r="BU3729" s="8"/>
      <c r="BZ3729" s="8"/>
      <c r="CD3729" s="8"/>
    </row>
    <row r="3730" spans="73:82" ht="15.75">
      <c r="BU3730" s="8"/>
      <c r="BZ3730" s="8"/>
      <c r="CD3730" s="8"/>
    </row>
    <row r="3731" spans="73:82" ht="15.75">
      <c r="BU3731" s="8"/>
      <c r="BZ3731" s="8"/>
      <c r="CD3731" s="8"/>
    </row>
    <row r="3732" spans="73:82" ht="15.75">
      <c r="BU3732" s="8"/>
      <c r="BZ3732" s="8"/>
      <c r="CD3732" s="8"/>
    </row>
    <row r="3733" spans="73:82" ht="15.75">
      <c r="BU3733" s="8"/>
      <c r="BZ3733" s="8"/>
      <c r="CD3733" s="8"/>
    </row>
    <row r="3734" spans="73:82" ht="15.75">
      <c r="BU3734" s="8"/>
      <c r="BZ3734" s="8"/>
      <c r="CD3734" s="8"/>
    </row>
    <row r="3735" spans="73:82" ht="15.75">
      <c r="BU3735" s="8"/>
      <c r="BZ3735" s="8"/>
      <c r="CD3735" s="8"/>
    </row>
    <row r="3736" spans="73:82" ht="15.75">
      <c r="BU3736" s="8"/>
      <c r="BZ3736" s="8"/>
      <c r="CD3736" s="8"/>
    </row>
    <row r="3737" spans="73:82" ht="15.75">
      <c r="BU3737" s="8"/>
      <c r="BZ3737" s="8"/>
      <c r="CD3737" s="8"/>
    </row>
    <row r="3738" spans="73:82" ht="15.75">
      <c r="BU3738" s="8"/>
      <c r="BZ3738" s="8"/>
      <c r="CD3738" s="8"/>
    </row>
    <row r="3739" spans="73:82" ht="15.75">
      <c r="BU3739" s="8"/>
      <c r="BZ3739" s="8"/>
      <c r="CD3739" s="8"/>
    </row>
    <row r="3740" spans="73:82" ht="15.75">
      <c r="BU3740" s="8"/>
      <c r="BZ3740" s="8"/>
      <c r="CD3740" s="8"/>
    </row>
    <row r="3741" spans="73:82" ht="15.75">
      <c r="BU3741" s="8"/>
      <c r="BZ3741" s="8"/>
      <c r="CD3741" s="8"/>
    </row>
    <row r="3742" spans="73:82" ht="15.75">
      <c r="BU3742" s="8"/>
      <c r="BZ3742" s="8"/>
      <c r="CD3742" s="8"/>
    </row>
    <row r="3743" spans="73:82" ht="15.75">
      <c r="BU3743" s="8"/>
      <c r="BZ3743" s="8"/>
      <c r="CD3743" s="8"/>
    </row>
    <row r="3744" spans="73:82" ht="15.75">
      <c r="BU3744" s="8"/>
      <c r="BZ3744" s="8"/>
      <c r="CD3744" s="8"/>
    </row>
    <row r="3745" spans="73:82" ht="15.75">
      <c r="BU3745" s="8"/>
      <c r="BZ3745" s="8"/>
      <c r="CD3745" s="8"/>
    </row>
    <row r="3746" spans="73:82" ht="15.75">
      <c r="BU3746" s="8"/>
      <c r="BZ3746" s="8"/>
      <c r="CD3746" s="8"/>
    </row>
    <row r="3747" spans="73:82" ht="15.75">
      <c r="BU3747" s="8"/>
      <c r="BZ3747" s="8"/>
      <c r="CD3747" s="8"/>
    </row>
    <row r="3748" spans="73:82" ht="15.75">
      <c r="BU3748" s="8"/>
      <c r="BZ3748" s="8"/>
      <c r="CD3748" s="8"/>
    </row>
    <row r="3749" spans="73:82" ht="15.75">
      <c r="BU3749" s="8"/>
      <c r="BZ3749" s="8"/>
      <c r="CD3749" s="8"/>
    </row>
    <row r="3750" spans="73:82" ht="15.75">
      <c r="BU3750" s="8"/>
      <c r="BZ3750" s="8"/>
      <c r="CD3750" s="8"/>
    </row>
    <row r="3751" spans="73:82" ht="15.75">
      <c r="BU3751" s="8"/>
      <c r="BZ3751" s="8"/>
      <c r="CD3751" s="8"/>
    </row>
    <row r="3752" spans="73:82" ht="15.75">
      <c r="BU3752" s="8"/>
      <c r="BZ3752" s="8"/>
      <c r="CD3752" s="8"/>
    </row>
    <row r="3753" spans="73:82" ht="15.75">
      <c r="BU3753" s="8"/>
      <c r="BZ3753" s="8"/>
      <c r="CD3753" s="8"/>
    </row>
    <row r="3754" spans="73:82" ht="15.75">
      <c r="BU3754" s="8"/>
      <c r="BZ3754" s="8"/>
      <c r="CD3754" s="8"/>
    </row>
    <row r="3755" spans="73:82" ht="15.75">
      <c r="BU3755" s="8"/>
      <c r="BZ3755" s="8"/>
      <c r="CD3755" s="8"/>
    </row>
    <row r="3756" spans="73:82" ht="15.75">
      <c r="BU3756" s="8"/>
      <c r="BZ3756" s="8"/>
      <c r="CD3756" s="8"/>
    </row>
    <row r="3757" spans="73:82" ht="15.75">
      <c r="BU3757" s="8"/>
      <c r="BZ3757" s="8"/>
      <c r="CD3757" s="8"/>
    </row>
    <row r="3758" spans="73:82" ht="15.75">
      <c r="BU3758" s="8"/>
      <c r="BZ3758" s="8"/>
      <c r="CD3758" s="8"/>
    </row>
    <row r="3759" spans="73:82" ht="15.75">
      <c r="BU3759" s="8"/>
      <c r="BZ3759" s="8"/>
      <c r="CD3759" s="8"/>
    </row>
    <row r="3760" spans="73:82" ht="15.75">
      <c r="BU3760" s="8"/>
      <c r="BZ3760" s="8"/>
      <c r="CD3760" s="8"/>
    </row>
    <row r="3761" spans="73:82" ht="15.75">
      <c r="BU3761" s="8"/>
      <c r="BZ3761" s="8"/>
      <c r="CD3761" s="8"/>
    </row>
    <row r="3762" spans="73:82" ht="15.75">
      <c r="BU3762" s="8"/>
      <c r="BZ3762" s="8"/>
      <c r="CD3762" s="8"/>
    </row>
    <row r="3763" spans="73:82" ht="15.75">
      <c r="BU3763" s="8"/>
      <c r="BZ3763" s="8"/>
      <c r="CD3763" s="8"/>
    </row>
    <row r="3764" spans="73:82" ht="15.75">
      <c r="BU3764" s="8"/>
      <c r="BZ3764" s="8"/>
      <c r="CD3764" s="8"/>
    </row>
    <row r="3765" spans="73:82" ht="15.75">
      <c r="BU3765" s="8"/>
      <c r="BZ3765" s="8"/>
      <c r="CD3765" s="8"/>
    </row>
    <row r="3766" spans="73:82" ht="15.75">
      <c r="BU3766" s="8"/>
      <c r="BZ3766" s="8"/>
      <c r="CD3766" s="8"/>
    </row>
    <row r="3767" spans="73:82" ht="15.75">
      <c r="BU3767" s="8"/>
      <c r="BZ3767" s="8"/>
      <c r="CD3767" s="8"/>
    </row>
    <row r="3768" spans="73:82" ht="15.75">
      <c r="BU3768" s="8"/>
      <c r="BZ3768" s="8"/>
      <c r="CD3768" s="8"/>
    </row>
    <row r="3769" spans="73:82" ht="15.75">
      <c r="BU3769" s="8"/>
      <c r="BZ3769" s="8"/>
      <c r="CD3769" s="8"/>
    </row>
    <row r="3770" spans="73:82" ht="15.75">
      <c r="BU3770" s="8"/>
      <c r="BZ3770" s="8"/>
      <c r="CD3770" s="8"/>
    </row>
    <row r="3771" spans="73:82" ht="15.75">
      <c r="BU3771" s="8"/>
      <c r="BZ3771" s="8"/>
      <c r="CD3771" s="8"/>
    </row>
    <row r="3772" spans="73:82" ht="15.75">
      <c r="BU3772" s="8"/>
      <c r="BZ3772" s="8"/>
      <c r="CD3772" s="8"/>
    </row>
    <row r="3773" spans="73:82" ht="15.75">
      <c r="BU3773" s="8"/>
      <c r="BZ3773" s="8"/>
      <c r="CD3773" s="8"/>
    </row>
    <row r="3774" spans="73:82" ht="15.75">
      <c r="BU3774" s="8"/>
      <c r="BZ3774" s="8"/>
      <c r="CD3774" s="8"/>
    </row>
    <row r="3775" spans="73:82" ht="15.75">
      <c r="BU3775" s="8"/>
      <c r="BZ3775" s="8"/>
      <c r="CD3775" s="8"/>
    </row>
    <row r="3776" spans="73:82" ht="15.75">
      <c r="BU3776" s="8"/>
      <c r="BZ3776" s="8"/>
      <c r="CD3776" s="8"/>
    </row>
    <row r="3777" spans="73:82" ht="15.75">
      <c r="BU3777" s="8"/>
      <c r="BZ3777" s="8"/>
      <c r="CD3777" s="8"/>
    </row>
    <row r="3778" spans="73:82" ht="15.75">
      <c r="BU3778" s="8"/>
      <c r="BZ3778" s="8"/>
      <c r="CD3778" s="8"/>
    </row>
    <row r="3779" spans="73:82" ht="15.75">
      <c r="BU3779" s="8"/>
      <c r="BZ3779" s="8"/>
      <c r="CD3779" s="8"/>
    </row>
    <row r="3780" spans="73:82" ht="15.75">
      <c r="BU3780" s="8"/>
      <c r="BZ3780" s="8"/>
      <c r="CD3780" s="8"/>
    </row>
    <row r="3781" spans="73:82" ht="15.75">
      <c r="BU3781" s="8"/>
      <c r="BZ3781" s="8"/>
      <c r="CD3781" s="8"/>
    </row>
    <row r="3782" spans="73:82" ht="15.75">
      <c r="BU3782" s="8"/>
      <c r="BZ3782" s="8"/>
      <c r="CD3782" s="8"/>
    </row>
    <row r="3783" spans="73:82" ht="15.75">
      <c r="BU3783" s="8"/>
      <c r="BZ3783" s="8"/>
      <c r="CD3783" s="8"/>
    </row>
    <row r="3784" spans="73:82" ht="15.75">
      <c r="BU3784" s="8"/>
      <c r="BZ3784" s="8"/>
      <c r="CD3784" s="8"/>
    </row>
    <row r="3785" spans="73:82" ht="15.75">
      <c r="BU3785" s="8"/>
      <c r="BZ3785" s="8"/>
      <c r="CD3785" s="8"/>
    </row>
    <row r="3786" spans="73:82" ht="15.75">
      <c r="BU3786" s="8"/>
      <c r="BZ3786" s="8"/>
      <c r="CD3786" s="8"/>
    </row>
    <row r="3787" spans="73:82" ht="15.75">
      <c r="BU3787" s="8"/>
      <c r="BZ3787" s="8"/>
      <c r="CD3787" s="8"/>
    </row>
    <row r="3788" spans="73:82" ht="15.75">
      <c r="BU3788" s="8"/>
      <c r="BZ3788" s="8"/>
      <c r="CD3788" s="8"/>
    </row>
    <row r="3789" spans="73:82" ht="15.75">
      <c r="BU3789" s="8"/>
      <c r="BZ3789" s="8"/>
      <c r="CD3789" s="8"/>
    </row>
    <row r="3790" spans="73:82" ht="15.75">
      <c r="BU3790" s="8"/>
      <c r="BZ3790" s="8"/>
      <c r="CD3790" s="8"/>
    </row>
    <row r="3791" spans="73:82" ht="15.75">
      <c r="BU3791" s="8"/>
      <c r="BZ3791" s="8"/>
      <c r="CD3791" s="8"/>
    </row>
    <row r="3792" spans="73:82" ht="15.75">
      <c r="BU3792" s="8"/>
      <c r="BZ3792" s="8"/>
      <c r="CD3792" s="8"/>
    </row>
    <row r="3793" spans="73:82" ht="15.75">
      <c r="BU3793" s="8"/>
      <c r="BZ3793" s="8"/>
      <c r="CD3793" s="8"/>
    </row>
    <row r="3794" spans="73:82" ht="15.75">
      <c r="BU3794" s="8"/>
      <c r="BZ3794" s="8"/>
      <c r="CD3794" s="8"/>
    </row>
    <row r="3795" spans="73:82" ht="15.75">
      <c r="BU3795" s="8"/>
      <c r="BZ3795" s="8"/>
      <c r="CD3795" s="8"/>
    </row>
    <row r="3796" spans="73:82" ht="15.75">
      <c r="BU3796" s="8"/>
      <c r="BZ3796" s="8"/>
      <c r="CD3796" s="8"/>
    </row>
    <row r="3797" spans="73:82" ht="15.75">
      <c r="BU3797" s="8"/>
      <c r="BZ3797" s="8"/>
      <c r="CD3797" s="8"/>
    </row>
    <row r="3798" spans="73:82" ht="15.75">
      <c r="BU3798" s="8"/>
      <c r="BZ3798" s="8"/>
      <c r="CD3798" s="8"/>
    </row>
    <row r="3799" spans="73:82" ht="15.75">
      <c r="BU3799" s="8"/>
      <c r="BZ3799" s="8"/>
      <c r="CD3799" s="8"/>
    </row>
    <row r="3800" spans="73:82" ht="15.75">
      <c r="BU3800" s="8"/>
      <c r="BZ3800" s="8"/>
      <c r="CD3800" s="8"/>
    </row>
    <row r="3801" spans="73:82" ht="15.75">
      <c r="BU3801" s="8"/>
      <c r="BZ3801" s="8"/>
      <c r="CD3801" s="8"/>
    </row>
    <row r="3802" spans="73:82" ht="15.75">
      <c r="BU3802" s="8"/>
      <c r="BZ3802" s="8"/>
      <c r="CD3802" s="8"/>
    </row>
    <row r="3803" spans="73:82" ht="15.75">
      <c r="BU3803" s="8"/>
      <c r="BZ3803" s="8"/>
      <c r="CD3803" s="8"/>
    </row>
    <row r="3804" spans="73:82" ht="15.75">
      <c r="BU3804" s="8"/>
      <c r="BZ3804" s="8"/>
      <c r="CD3804" s="8"/>
    </row>
    <row r="3805" spans="73:82" ht="15.75">
      <c r="BU3805" s="8"/>
      <c r="BZ3805" s="8"/>
      <c r="CD3805" s="8"/>
    </row>
    <row r="3806" spans="73:82" ht="15.75">
      <c r="BU3806" s="8"/>
      <c r="BZ3806" s="8"/>
      <c r="CD3806" s="8"/>
    </row>
    <row r="3807" spans="73:82" ht="15.75">
      <c r="BU3807" s="8"/>
      <c r="BZ3807" s="8"/>
      <c r="CD3807" s="8"/>
    </row>
    <row r="3808" spans="73:82" ht="15.75">
      <c r="BU3808" s="8"/>
      <c r="BZ3808" s="8"/>
      <c r="CD3808" s="8"/>
    </row>
    <row r="3809" spans="73:82" ht="15.75">
      <c r="BU3809" s="8"/>
      <c r="BZ3809" s="8"/>
      <c r="CD3809" s="8"/>
    </row>
    <row r="3810" spans="73:82" ht="15.75">
      <c r="BU3810" s="8"/>
      <c r="BZ3810" s="8"/>
      <c r="CD3810" s="8"/>
    </row>
    <row r="3811" spans="73:82" ht="15.75">
      <c r="BU3811" s="8"/>
      <c r="BZ3811" s="8"/>
      <c r="CD3811" s="8"/>
    </row>
    <row r="3812" spans="73:82" ht="15.75">
      <c r="BU3812" s="8"/>
      <c r="BZ3812" s="8"/>
      <c r="CD3812" s="8"/>
    </row>
    <row r="3813" spans="73:82" ht="15.75">
      <c r="BU3813" s="8"/>
      <c r="BZ3813" s="8"/>
      <c r="CD3813" s="8"/>
    </row>
    <row r="3814" spans="73:82" ht="15.75">
      <c r="BU3814" s="8"/>
      <c r="BZ3814" s="8"/>
      <c r="CD3814" s="8"/>
    </row>
    <row r="3815" spans="73:82" ht="15.75">
      <c r="BU3815" s="8"/>
      <c r="BZ3815" s="8"/>
      <c r="CD3815" s="8"/>
    </row>
    <row r="3816" spans="73:82" ht="15.75">
      <c r="BU3816" s="8"/>
      <c r="BZ3816" s="8"/>
      <c r="CD3816" s="8"/>
    </row>
    <row r="3817" spans="73:82" ht="15.75">
      <c r="BU3817" s="8"/>
      <c r="BZ3817" s="8"/>
      <c r="CD3817" s="8"/>
    </row>
    <row r="3818" spans="73:82" ht="15.75">
      <c r="BU3818" s="8"/>
      <c r="BZ3818" s="8"/>
      <c r="CD3818" s="8"/>
    </row>
    <row r="3819" spans="73:82" ht="15.75">
      <c r="BU3819" s="8"/>
      <c r="BZ3819" s="8"/>
      <c r="CD3819" s="8"/>
    </row>
    <row r="3820" spans="73:82" ht="15.75">
      <c r="BU3820" s="8"/>
      <c r="BZ3820" s="8"/>
      <c r="CD3820" s="8"/>
    </row>
    <row r="3821" spans="73:82" ht="15.75">
      <c r="BU3821" s="8"/>
      <c r="BZ3821" s="8"/>
      <c r="CD3821" s="8"/>
    </row>
    <row r="3822" spans="73:82" ht="15.75">
      <c r="BU3822" s="8"/>
      <c r="BZ3822" s="8"/>
      <c r="CD3822" s="8"/>
    </row>
    <row r="3823" spans="73:82" ht="15.75">
      <c r="BU3823" s="8"/>
      <c r="BZ3823" s="8"/>
      <c r="CD3823" s="8"/>
    </row>
    <row r="3824" spans="73:82" ht="15.75">
      <c r="BU3824" s="8"/>
      <c r="BZ3824" s="8"/>
      <c r="CD3824" s="8"/>
    </row>
    <row r="3825" spans="73:82" ht="15.75">
      <c r="BU3825" s="8"/>
      <c r="BZ3825" s="8"/>
      <c r="CD3825" s="8"/>
    </row>
    <row r="3826" spans="73:82" ht="15.75">
      <c r="BU3826" s="8"/>
      <c r="BZ3826" s="8"/>
      <c r="CD3826" s="8"/>
    </row>
    <row r="3827" spans="73:82" ht="15.75">
      <c r="BU3827" s="8"/>
      <c r="BZ3827" s="8"/>
      <c r="CD3827" s="8"/>
    </row>
    <row r="3828" spans="73:82" ht="15.75">
      <c r="BU3828" s="8"/>
      <c r="BZ3828" s="8"/>
      <c r="CD3828" s="8"/>
    </row>
    <row r="3829" spans="73:82" ht="15.75">
      <c r="BU3829" s="8"/>
      <c r="BZ3829" s="8"/>
      <c r="CD3829" s="8"/>
    </row>
    <row r="3830" spans="73:82" ht="15.75">
      <c r="BU3830" s="8"/>
      <c r="BZ3830" s="8"/>
      <c r="CD3830" s="8"/>
    </row>
    <row r="3831" spans="73:82" ht="15.75">
      <c r="BU3831" s="8"/>
      <c r="BZ3831" s="8"/>
      <c r="CD3831" s="8"/>
    </row>
    <row r="3832" spans="73:82" ht="15.75">
      <c r="BU3832" s="8"/>
      <c r="BZ3832" s="8"/>
      <c r="CD3832" s="8"/>
    </row>
    <row r="3833" spans="73:82" ht="15.75">
      <c r="BU3833" s="8"/>
      <c r="BZ3833" s="8"/>
      <c r="CD3833" s="8"/>
    </row>
    <row r="3834" spans="73:82" ht="15.75">
      <c r="BU3834" s="8"/>
      <c r="BZ3834" s="8"/>
      <c r="CD3834" s="8"/>
    </row>
    <row r="3835" spans="73:82" ht="15.75">
      <c r="BU3835" s="8"/>
      <c r="BZ3835" s="8"/>
      <c r="CD3835" s="8"/>
    </row>
    <row r="3836" spans="73:82" ht="15.75">
      <c r="BU3836" s="8"/>
      <c r="BZ3836" s="8"/>
      <c r="CD3836" s="8"/>
    </row>
    <row r="3837" spans="73:82" ht="15.75">
      <c r="BU3837" s="8"/>
      <c r="BZ3837" s="8"/>
      <c r="CD3837" s="8"/>
    </row>
    <row r="3838" spans="73:82" ht="15.75">
      <c r="BU3838" s="8"/>
      <c r="BZ3838" s="8"/>
      <c r="CD3838" s="8"/>
    </row>
    <row r="3839" spans="73:82" ht="15.75">
      <c r="BU3839" s="8"/>
      <c r="BZ3839" s="8"/>
      <c r="CD3839" s="8"/>
    </row>
    <row r="3840" spans="73:82" ht="15.75">
      <c r="BU3840" s="8"/>
      <c r="BZ3840" s="8"/>
      <c r="CD3840" s="8"/>
    </row>
    <row r="3841" spans="73:82" ht="15.75">
      <c r="BU3841" s="8"/>
      <c r="BZ3841" s="8"/>
      <c r="CD3841" s="8"/>
    </row>
    <row r="3842" spans="73:82" ht="15.75">
      <c r="BU3842" s="8"/>
      <c r="BZ3842" s="8"/>
      <c r="CD3842" s="8"/>
    </row>
    <row r="3843" spans="73:82" ht="15.75">
      <c r="BU3843" s="8"/>
      <c r="BZ3843" s="8"/>
      <c r="CD3843" s="8"/>
    </row>
    <row r="3844" spans="73:82" ht="15.75">
      <c r="BU3844" s="8"/>
      <c r="BZ3844" s="8"/>
      <c r="CD3844" s="8"/>
    </row>
    <row r="3845" spans="73:82" ht="15.75">
      <c r="BU3845" s="8"/>
      <c r="BZ3845" s="8"/>
      <c r="CD3845" s="8"/>
    </row>
    <row r="3846" spans="73:82" ht="15.75">
      <c r="BU3846" s="8"/>
      <c r="BZ3846" s="8"/>
      <c r="CD3846" s="8"/>
    </row>
    <row r="3847" spans="73:82" ht="15.75">
      <c r="BU3847" s="8"/>
      <c r="BZ3847" s="8"/>
      <c r="CD3847" s="8"/>
    </row>
    <row r="3848" spans="73:82" ht="15.75">
      <c r="BU3848" s="8"/>
      <c r="BZ3848" s="8"/>
      <c r="CD3848" s="8"/>
    </row>
    <row r="3849" spans="73:82" ht="15.75">
      <c r="BU3849" s="8"/>
      <c r="BZ3849" s="8"/>
      <c r="CD3849" s="8"/>
    </row>
    <row r="3850" spans="73:82" ht="15.75">
      <c r="BU3850" s="8"/>
      <c r="BZ3850" s="8"/>
      <c r="CD3850" s="8"/>
    </row>
    <row r="3851" spans="73:82" ht="15.75">
      <c r="BU3851" s="8"/>
      <c r="BZ3851" s="8"/>
      <c r="CD3851" s="8"/>
    </row>
    <row r="3852" spans="73:82" ht="15.75">
      <c r="BU3852" s="8"/>
      <c r="BZ3852" s="8"/>
      <c r="CD3852" s="8"/>
    </row>
    <row r="3853" spans="73:82" ht="15.75">
      <c r="BU3853" s="8"/>
      <c r="BZ3853" s="8"/>
      <c r="CD3853" s="8"/>
    </row>
    <row r="3854" spans="73:82" ht="15.75">
      <c r="BU3854" s="8"/>
      <c r="BZ3854" s="8"/>
      <c r="CD3854" s="8"/>
    </row>
    <row r="3855" spans="73:82" ht="15.75">
      <c r="BU3855" s="8"/>
      <c r="BZ3855" s="8"/>
      <c r="CD3855" s="8"/>
    </row>
    <row r="3856" spans="73:82" ht="15.75">
      <c r="BU3856" s="8"/>
      <c r="BZ3856" s="8"/>
      <c r="CD3856" s="8"/>
    </row>
    <row r="3857" spans="73:82" ht="15.75">
      <c r="BU3857" s="8"/>
      <c r="BZ3857" s="8"/>
      <c r="CD3857" s="8"/>
    </row>
    <row r="3858" spans="73:82" ht="15.75">
      <c r="BU3858" s="8"/>
      <c r="BZ3858" s="8"/>
      <c r="CD3858" s="8"/>
    </row>
    <row r="3859" spans="73:82" ht="15.75">
      <c r="BU3859" s="8"/>
      <c r="BZ3859" s="8"/>
      <c r="CD3859" s="8"/>
    </row>
    <row r="3860" spans="73:82" ht="15.75">
      <c r="BU3860" s="8"/>
      <c r="BZ3860" s="8"/>
      <c r="CD3860" s="8"/>
    </row>
    <row r="3861" spans="73:82" ht="15.75">
      <c r="BU3861" s="8"/>
      <c r="BZ3861" s="8"/>
      <c r="CD3861" s="8"/>
    </row>
    <row r="3862" spans="73:82" ht="15.75">
      <c r="BU3862" s="8"/>
      <c r="BZ3862" s="8"/>
      <c r="CD3862" s="8"/>
    </row>
    <row r="3863" spans="73:82" ht="15.75">
      <c r="BU3863" s="8"/>
      <c r="BZ3863" s="8"/>
      <c r="CD3863" s="8"/>
    </row>
    <row r="3864" spans="73:82" ht="15.75">
      <c r="BU3864" s="8"/>
      <c r="BZ3864" s="8"/>
      <c r="CD3864" s="8"/>
    </row>
    <row r="3865" spans="73:82" ht="15.75">
      <c r="BU3865" s="8"/>
      <c r="BZ3865" s="8"/>
      <c r="CD3865" s="8"/>
    </row>
    <row r="3866" spans="73:82" ht="15.75">
      <c r="BU3866" s="8"/>
      <c r="BZ3866" s="8"/>
      <c r="CD3866" s="8"/>
    </row>
    <row r="3867" spans="73:82" ht="15.75">
      <c r="BU3867" s="8"/>
      <c r="BZ3867" s="8"/>
      <c r="CD3867" s="8"/>
    </row>
    <row r="3868" spans="73:82" ht="15.75">
      <c r="BU3868" s="8"/>
      <c r="BZ3868" s="8"/>
      <c r="CD3868" s="8"/>
    </row>
    <row r="3869" spans="73:82" ht="15.75">
      <c r="BU3869" s="8"/>
      <c r="BZ3869" s="8"/>
      <c r="CD3869" s="8"/>
    </row>
    <row r="3870" spans="73:82" ht="15.75">
      <c r="BU3870" s="8"/>
      <c r="BZ3870" s="8"/>
      <c r="CD3870" s="8"/>
    </row>
    <row r="3871" spans="73:82" ht="15.75">
      <c r="BU3871" s="8"/>
      <c r="BZ3871" s="8"/>
      <c r="CD3871" s="8"/>
    </row>
    <row r="3872" spans="73:82" ht="15.75">
      <c r="BU3872" s="8"/>
      <c r="BZ3872" s="8"/>
      <c r="CD3872" s="8"/>
    </row>
    <row r="3873" spans="73:82" ht="15.75">
      <c r="BU3873" s="8"/>
      <c r="BZ3873" s="8"/>
      <c r="CD3873" s="8"/>
    </row>
    <row r="3874" spans="73:82" ht="15.75">
      <c r="BU3874" s="8"/>
      <c r="BZ3874" s="8"/>
      <c r="CD3874" s="8"/>
    </row>
    <row r="3875" spans="73:82" ht="15.75">
      <c r="BU3875" s="8"/>
      <c r="BZ3875" s="8"/>
      <c r="CD3875" s="8"/>
    </row>
    <row r="3876" spans="73:82" ht="15.75">
      <c r="BU3876" s="8"/>
      <c r="BZ3876" s="8"/>
      <c r="CD3876" s="8"/>
    </row>
    <row r="3877" spans="73:82" ht="15.75">
      <c r="BU3877" s="8"/>
      <c r="BZ3877" s="8"/>
      <c r="CD3877" s="8"/>
    </row>
    <row r="3878" spans="73:82" ht="15.75">
      <c r="BU3878" s="8"/>
      <c r="BZ3878" s="8"/>
      <c r="CD3878" s="8"/>
    </row>
    <row r="3879" spans="73:82" ht="15.75">
      <c r="BU3879" s="8"/>
      <c r="BZ3879" s="8"/>
      <c r="CD3879" s="8"/>
    </row>
    <row r="3880" spans="73:82" ht="15.75">
      <c r="BU3880" s="8"/>
      <c r="BZ3880" s="8"/>
      <c r="CD3880" s="8"/>
    </row>
    <row r="3881" spans="73:82" ht="15.75">
      <c r="BU3881" s="8"/>
      <c r="BZ3881" s="8"/>
      <c r="CD3881" s="8"/>
    </row>
    <row r="3882" spans="73:82" ht="15.75">
      <c r="BU3882" s="8"/>
      <c r="BZ3882" s="8"/>
      <c r="CD3882" s="8"/>
    </row>
    <row r="3883" spans="73:82" ht="15.75">
      <c r="BU3883" s="8"/>
      <c r="BZ3883" s="8"/>
      <c r="CD3883" s="8"/>
    </row>
    <row r="3884" spans="73:82" ht="15.75">
      <c r="BU3884" s="8"/>
      <c r="BZ3884" s="8"/>
      <c r="CD3884" s="8"/>
    </row>
    <row r="3885" spans="73:82" ht="15.75">
      <c r="BU3885" s="8"/>
      <c r="BZ3885" s="8"/>
      <c r="CD3885" s="8"/>
    </row>
    <row r="3886" spans="73:82" ht="15.75">
      <c r="BU3886" s="8"/>
      <c r="BZ3886" s="8"/>
      <c r="CD3886" s="8"/>
    </row>
    <row r="3887" spans="73:82" ht="15.75">
      <c r="BU3887" s="8"/>
      <c r="BZ3887" s="8"/>
      <c r="CD3887" s="8"/>
    </row>
    <row r="3888" spans="73:82" ht="15.75">
      <c r="BU3888" s="8"/>
      <c r="BZ3888" s="8"/>
      <c r="CD3888" s="8"/>
    </row>
    <row r="3889" spans="73:82" ht="15.75">
      <c r="BU3889" s="8"/>
      <c r="BZ3889" s="8"/>
      <c r="CD3889" s="8"/>
    </row>
    <row r="3890" spans="73:82" ht="15.75">
      <c r="BU3890" s="8"/>
      <c r="BZ3890" s="8"/>
      <c r="CD3890" s="8"/>
    </row>
    <row r="3891" spans="73:82" ht="15.75">
      <c r="BU3891" s="8"/>
      <c r="BZ3891" s="8"/>
      <c r="CD3891" s="8"/>
    </row>
    <row r="3892" spans="73:82" ht="15.75">
      <c r="BU3892" s="8"/>
      <c r="BZ3892" s="8"/>
      <c r="CD3892" s="8"/>
    </row>
    <row r="3893" spans="73:82" ht="15.75">
      <c r="BU3893" s="8"/>
      <c r="BZ3893" s="8"/>
      <c r="CD3893" s="8"/>
    </row>
    <row r="3894" spans="73:82" ht="15.75">
      <c r="BU3894" s="8"/>
      <c r="BZ3894" s="8"/>
      <c r="CD3894" s="8"/>
    </row>
    <row r="3895" spans="73:82" ht="15.75">
      <c r="BU3895" s="8"/>
      <c r="BZ3895" s="8"/>
      <c r="CD3895" s="8"/>
    </row>
    <row r="3896" spans="73:82" ht="15.75">
      <c r="BU3896" s="8"/>
      <c r="BZ3896" s="8"/>
      <c r="CD3896" s="8"/>
    </row>
    <row r="3897" spans="73:82" ht="15.75">
      <c r="BU3897" s="8"/>
      <c r="BZ3897" s="8"/>
      <c r="CD3897" s="8"/>
    </row>
    <row r="3898" spans="73:82" ht="15.75">
      <c r="BU3898" s="8"/>
      <c r="BZ3898" s="8"/>
      <c r="CD3898" s="8"/>
    </row>
    <row r="3899" spans="73:82" ht="15.75">
      <c r="BU3899" s="8"/>
      <c r="BZ3899" s="8"/>
      <c r="CD3899" s="8"/>
    </row>
    <row r="3900" spans="73:82" ht="15.75">
      <c r="BU3900" s="8"/>
      <c r="BZ3900" s="8"/>
      <c r="CD3900" s="8"/>
    </row>
    <row r="3901" spans="73:82" ht="15.75">
      <c r="BU3901" s="8"/>
      <c r="BZ3901" s="8"/>
      <c r="CD3901" s="8"/>
    </row>
    <row r="3902" spans="73:82" ht="15.75">
      <c r="BU3902" s="8"/>
      <c r="BZ3902" s="8"/>
      <c r="CD3902" s="8"/>
    </row>
    <row r="3903" spans="73:82" ht="15.75">
      <c r="BU3903" s="8"/>
      <c r="BZ3903" s="8"/>
      <c r="CD3903" s="8"/>
    </row>
    <row r="3904" spans="73:82" ht="15.75">
      <c r="BU3904" s="8"/>
      <c r="BZ3904" s="8"/>
      <c r="CD3904" s="8"/>
    </row>
    <row r="3905" spans="73:82" ht="15.75">
      <c r="BU3905" s="8"/>
      <c r="BZ3905" s="8"/>
      <c r="CD3905" s="8"/>
    </row>
    <row r="3906" spans="73:82" ht="15.75">
      <c r="BU3906" s="8"/>
      <c r="BZ3906" s="8"/>
      <c r="CD3906" s="8"/>
    </row>
    <row r="3907" spans="73:82" ht="15.75">
      <c r="BU3907" s="8"/>
      <c r="BZ3907" s="8"/>
      <c r="CD3907" s="8"/>
    </row>
    <row r="3908" spans="73:82" ht="15.75">
      <c r="BU3908" s="8"/>
      <c r="BZ3908" s="8"/>
      <c r="CD3908" s="8"/>
    </row>
    <row r="3909" spans="73:82" ht="15.75">
      <c r="BU3909" s="8"/>
      <c r="BZ3909" s="8"/>
      <c r="CD3909" s="8"/>
    </row>
    <row r="3910" spans="73:82" ht="15.75">
      <c r="BU3910" s="8"/>
      <c r="BZ3910" s="8"/>
      <c r="CD3910" s="8"/>
    </row>
    <row r="3911" spans="73:82" ht="15.75">
      <c r="BU3911" s="8"/>
      <c r="BZ3911" s="8"/>
      <c r="CD3911" s="8"/>
    </row>
    <row r="3912" spans="73:82" ht="15.75">
      <c r="BU3912" s="8"/>
      <c r="BZ3912" s="8"/>
      <c r="CD3912" s="8"/>
    </row>
    <row r="3913" spans="73:82" ht="15.75">
      <c r="BU3913" s="8"/>
      <c r="BZ3913" s="8"/>
      <c r="CD3913" s="8"/>
    </row>
    <row r="3914" spans="73:82" ht="15.75">
      <c r="BU3914" s="8"/>
      <c r="BZ3914" s="8"/>
      <c r="CD3914" s="8"/>
    </row>
    <row r="3915" spans="73:82" ht="15.75">
      <c r="BU3915" s="8"/>
      <c r="BZ3915" s="8"/>
      <c r="CD3915" s="8"/>
    </row>
    <row r="3916" spans="73:82" ht="15.75">
      <c r="BU3916" s="8"/>
      <c r="BZ3916" s="8"/>
      <c r="CD3916" s="8"/>
    </row>
    <row r="3917" spans="73:82" ht="15.75">
      <c r="BU3917" s="8"/>
      <c r="BZ3917" s="8"/>
      <c r="CD3917" s="8"/>
    </row>
    <row r="3918" spans="73:82" ht="15.75">
      <c r="BU3918" s="8"/>
      <c r="BZ3918" s="8"/>
      <c r="CD3918" s="8"/>
    </row>
    <row r="3919" spans="73:82" ht="15.75">
      <c r="BU3919" s="8"/>
      <c r="BZ3919" s="8"/>
      <c r="CD3919" s="8"/>
    </row>
    <row r="3920" spans="73:82" ht="15.75">
      <c r="BU3920" s="8"/>
      <c r="BZ3920" s="8"/>
      <c r="CD3920" s="8"/>
    </row>
    <row r="3921" spans="73:82" ht="15.75">
      <c r="BU3921" s="8"/>
      <c r="BZ3921" s="8"/>
      <c r="CD3921" s="8"/>
    </row>
    <row r="3922" spans="73:82" ht="15.75">
      <c r="BU3922" s="8"/>
      <c r="BZ3922" s="8"/>
      <c r="CD3922" s="8"/>
    </row>
    <row r="3923" spans="73:82" ht="15.75">
      <c r="BU3923" s="8"/>
      <c r="BZ3923" s="8"/>
      <c r="CD3923" s="8"/>
    </row>
    <row r="3924" spans="73:82" ht="15.75">
      <c r="BU3924" s="8"/>
      <c r="BZ3924" s="8"/>
      <c r="CD3924" s="8"/>
    </row>
    <row r="3925" spans="73:82" ht="15.75">
      <c r="BU3925" s="8"/>
      <c r="BZ3925" s="8"/>
      <c r="CD3925" s="8"/>
    </row>
    <row r="3926" spans="73:82" ht="15.75">
      <c r="BU3926" s="8"/>
      <c r="BZ3926" s="8"/>
      <c r="CD3926" s="8"/>
    </row>
    <row r="3927" spans="73:82" ht="15.75">
      <c r="BU3927" s="8"/>
      <c r="BZ3927" s="8"/>
      <c r="CD3927" s="8"/>
    </row>
    <row r="3928" spans="73:82" ht="15.75">
      <c r="BU3928" s="8"/>
      <c r="BZ3928" s="8"/>
      <c r="CD3928" s="8"/>
    </row>
    <row r="3929" spans="73:82" ht="15.75">
      <c r="BU3929" s="8"/>
      <c r="BZ3929" s="8"/>
      <c r="CD3929" s="8"/>
    </row>
    <row r="3930" spans="73:82" ht="15.75">
      <c r="BU3930" s="8"/>
      <c r="BZ3930" s="8"/>
      <c r="CD3930" s="8"/>
    </row>
    <row r="3931" spans="73:82" ht="15.75">
      <c r="BU3931" s="8"/>
      <c r="BZ3931" s="8"/>
      <c r="CD3931" s="8"/>
    </row>
    <row r="3932" spans="73:82" ht="15.75">
      <c r="BU3932" s="8"/>
      <c r="BZ3932" s="8"/>
      <c r="CD3932" s="8"/>
    </row>
    <row r="3933" spans="73:82" ht="15.75">
      <c r="BU3933" s="8"/>
      <c r="BZ3933" s="8"/>
      <c r="CD3933" s="8"/>
    </row>
    <row r="3934" spans="73:82" ht="15.75">
      <c r="BU3934" s="8"/>
      <c r="BZ3934" s="8"/>
      <c r="CD3934" s="8"/>
    </row>
    <row r="3935" spans="73:82" ht="15.75">
      <c r="BU3935" s="8"/>
      <c r="BZ3935" s="8"/>
      <c r="CD3935" s="8"/>
    </row>
    <row r="3936" spans="73:82" ht="15.75">
      <c r="BU3936" s="8"/>
      <c r="BZ3936" s="8"/>
      <c r="CD3936" s="8"/>
    </row>
    <row r="3937" spans="73:82" ht="15.75">
      <c r="BU3937" s="8"/>
      <c r="BZ3937" s="8"/>
      <c r="CD3937" s="8"/>
    </row>
    <row r="3938" spans="73:82" ht="15.75">
      <c r="BU3938" s="8"/>
      <c r="BZ3938" s="8"/>
      <c r="CD3938" s="8"/>
    </row>
    <row r="3939" spans="73:82" ht="15.75">
      <c r="BU3939" s="8"/>
      <c r="BZ3939" s="8"/>
      <c r="CD3939" s="8"/>
    </row>
    <row r="3940" spans="73:82" ht="15.75">
      <c r="BU3940" s="8"/>
      <c r="BZ3940" s="8"/>
      <c r="CD3940" s="8"/>
    </row>
    <row r="3941" spans="73:82" ht="15.75">
      <c r="BU3941" s="8"/>
      <c r="BZ3941" s="8"/>
      <c r="CD3941" s="8"/>
    </row>
    <row r="3942" spans="73:82" ht="15.75">
      <c r="BU3942" s="8"/>
      <c r="BZ3942" s="8"/>
      <c r="CD3942" s="8"/>
    </row>
    <row r="3943" spans="73:82" ht="15.75">
      <c r="BU3943" s="8"/>
      <c r="BZ3943" s="8"/>
      <c r="CD3943" s="8"/>
    </row>
    <row r="3944" spans="73:82" ht="15.75">
      <c r="BU3944" s="8"/>
      <c r="BZ3944" s="8"/>
      <c r="CD3944" s="8"/>
    </row>
    <row r="3945" spans="73:82" ht="15.75">
      <c r="BU3945" s="8"/>
      <c r="BZ3945" s="8"/>
      <c r="CD3945" s="8"/>
    </row>
    <row r="3946" spans="73:82" ht="15.75">
      <c r="BU3946" s="8"/>
      <c r="BZ3946" s="8"/>
      <c r="CD3946" s="8"/>
    </row>
    <row r="3947" spans="73:82" ht="15.75">
      <c r="BU3947" s="8"/>
      <c r="BZ3947" s="8"/>
      <c r="CD3947" s="8"/>
    </row>
    <row r="3948" spans="73:82" ht="15.75">
      <c r="BU3948" s="8"/>
      <c r="BZ3948" s="8"/>
      <c r="CD3948" s="8"/>
    </row>
    <row r="3949" spans="73:82" ht="15.75">
      <c r="BU3949" s="8"/>
      <c r="BZ3949" s="8"/>
      <c r="CD3949" s="8"/>
    </row>
    <row r="3950" spans="73:82" ht="15.75">
      <c r="BU3950" s="8"/>
      <c r="BZ3950" s="8"/>
      <c r="CD3950" s="8"/>
    </row>
    <row r="3951" spans="73:82" ht="15.75">
      <c r="BU3951" s="8"/>
      <c r="BZ3951" s="8"/>
      <c r="CD3951" s="8"/>
    </row>
    <row r="3952" spans="73:82" ht="15.75">
      <c r="BU3952" s="8"/>
      <c r="BZ3952" s="8"/>
      <c r="CD3952" s="8"/>
    </row>
    <row r="3953" spans="73:82" ht="15.75">
      <c r="BU3953" s="8"/>
      <c r="BZ3953" s="8"/>
      <c r="CD3953" s="8"/>
    </row>
    <row r="3954" spans="73:82" ht="15.75">
      <c r="BU3954" s="8"/>
      <c r="BZ3954" s="8"/>
      <c r="CD3954" s="8"/>
    </row>
    <row r="3955" spans="73:82" ht="15.75">
      <c r="BU3955" s="8"/>
      <c r="BZ3955" s="8"/>
      <c r="CD3955" s="8"/>
    </row>
    <row r="3956" spans="73:82" ht="15.75">
      <c r="BU3956" s="8"/>
      <c r="BZ3956" s="8"/>
      <c r="CD3956" s="8"/>
    </row>
    <row r="3957" spans="73:82" ht="15.75">
      <c r="BU3957" s="8"/>
      <c r="BZ3957" s="8"/>
      <c r="CD3957" s="8"/>
    </row>
    <row r="3958" spans="73:82" ht="15.75">
      <c r="BU3958" s="8"/>
      <c r="BZ3958" s="8"/>
      <c r="CD3958" s="8"/>
    </row>
    <row r="3959" spans="73:82" ht="15.75">
      <c r="BU3959" s="8"/>
      <c r="BZ3959" s="8"/>
      <c r="CD3959" s="8"/>
    </row>
    <row r="3960" spans="73:82" ht="15.75">
      <c r="BU3960" s="8"/>
      <c r="BZ3960" s="8"/>
      <c r="CD3960" s="8"/>
    </row>
    <row r="3961" spans="73:82" ht="15.75">
      <c r="BU3961" s="8"/>
      <c r="BZ3961" s="8"/>
      <c r="CD3961" s="8"/>
    </row>
    <row r="3962" spans="73:82" ht="15.75">
      <c r="BU3962" s="8"/>
      <c r="BZ3962" s="8"/>
      <c r="CD3962" s="8"/>
    </row>
    <row r="3963" spans="73:82" ht="15.75">
      <c r="BU3963" s="8"/>
      <c r="BZ3963" s="8"/>
      <c r="CD3963" s="8"/>
    </row>
    <row r="3964" spans="73:82" ht="15.75">
      <c r="BU3964" s="8"/>
      <c r="BZ3964" s="8"/>
      <c r="CD3964" s="8"/>
    </row>
    <row r="3965" spans="73:82" ht="15.75">
      <c r="BU3965" s="8"/>
      <c r="BZ3965" s="8"/>
      <c r="CD3965" s="8"/>
    </row>
    <row r="3966" spans="73:82" ht="15.75">
      <c r="BU3966" s="8"/>
      <c r="BZ3966" s="8"/>
      <c r="CD3966" s="8"/>
    </row>
    <row r="3967" spans="73:82" ht="15.75">
      <c r="BU3967" s="8"/>
      <c r="BZ3967" s="8"/>
      <c r="CD3967" s="8"/>
    </row>
    <row r="3968" spans="73:82" ht="15.75">
      <c r="BU3968" s="8"/>
      <c r="BZ3968" s="8"/>
      <c r="CD3968" s="8"/>
    </row>
    <row r="3969" spans="73:82" ht="15.75">
      <c r="BU3969" s="8"/>
      <c r="BZ3969" s="8"/>
      <c r="CD3969" s="8"/>
    </row>
    <row r="3970" spans="73:82" ht="15.75">
      <c r="BU3970" s="8"/>
      <c r="BZ3970" s="8"/>
      <c r="CD3970" s="8"/>
    </row>
    <row r="3971" spans="73:82" ht="15.75">
      <c r="BU3971" s="8"/>
      <c r="BZ3971" s="8"/>
      <c r="CD3971" s="8"/>
    </row>
    <row r="3972" spans="73:82" ht="15.75">
      <c r="BU3972" s="8"/>
      <c r="BZ3972" s="8"/>
      <c r="CD3972" s="8"/>
    </row>
    <row r="3973" spans="73:82" ht="15.75">
      <c r="BU3973" s="8"/>
      <c r="BZ3973" s="8"/>
      <c r="CD3973" s="8"/>
    </row>
    <row r="3974" spans="73:82" ht="15.75">
      <c r="BU3974" s="8"/>
      <c r="BZ3974" s="8"/>
      <c r="CD3974" s="8"/>
    </row>
    <row r="3975" spans="73:82" ht="15.75">
      <c r="BU3975" s="8"/>
      <c r="BZ3975" s="8"/>
      <c r="CD3975" s="8"/>
    </row>
    <row r="3976" spans="73:82" ht="15.75">
      <c r="BU3976" s="8"/>
      <c r="BZ3976" s="8"/>
      <c r="CD3976" s="8"/>
    </row>
    <row r="3977" spans="73:82" ht="15.75">
      <c r="BU3977" s="8"/>
      <c r="BZ3977" s="8"/>
      <c r="CD3977" s="8"/>
    </row>
    <row r="3978" spans="73:82" ht="15.75">
      <c r="BU3978" s="8"/>
      <c r="BZ3978" s="8"/>
      <c r="CD3978" s="8"/>
    </row>
    <row r="3979" spans="73:82" ht="15.75">
      <c r="BU3979" s="8"/>
      <c r="BZ3979" s="8"/>
      <c r="CD3979" s="8"/>
    </row>
    <row r="3980" spans="73:82" ht="15.75">
      <c r="BU3980" s="8"/>
      <c r="BZ3980" s="8"/>
      <c r="CD3980" s="8"/>
    </row>
    <row r="3981" spans="73:82" ht="15.75">
      <c r="BU3981" s="8"/>
      <c r="BZ3981" s="8"/>
      <c r="CD3981" s="8"/>
    </row>
    <row r="3982" spans="73:82" ht="15.75">
      <c r="BU3982" s="8"/>
      <c r="BZ3982" s="8"/>
      <c r="CD3982" s="8"/>
    </row>
    <row r="3983" spans="73:82" ht="15.75">
      <c r="BU3983" s="8"/>
      <c r="BZ3983" s="8"/>
      <c r="CD3983" s="8"/>
    </row>
    <row r="3984" spans="73:82" ht="15.75">
      <c r="BU3984" s="8"/>
      <c r="BZ3984" s="8"/>
      <c r="CD3984" s="8"/>
    </row>
    <row r="3985" spans="73:82" ht="15.75">
      <c r="BU3985" s="8"/>
      <c r="BZ3985" s="8"/>
      <c r="CD3985" s="8"/>
    </row>
    <row r="3986" spans="73:82" ht="15.75">
      <c r="BU3986" s="8"/>
      <c r="BZ3986" s="8"/>
      <c r="CD3986" s="8"/>
    </row>
    <row r="3987" spans="73:82" ht="15.75">
      <c r="BU3987" s="8"/>
      <c r="BZ3987" s="8"/>
      <c r="CD3987" s="8"/>
    </row>
    <row r="3988" spans="73:82" ht="15.75">
      <c r="BU3988" s="8"/>
      <c r="BZ3988" s="8"/>
      <c r="CD3988" s="8"/>
    </row>
    <row r="3989" spans="73:82" ht="15.75">
      <c r="BU3989" s="8"/>
      <c r="BZ3989" s="8"/>
      <c r="CD3989" s="8"/>
    </row>
    <row r="3990" spans="73:82" ht="15.75">
      <c r="BU3990" s="8"/>
      <c r="BZ3990" s="8"/>
      <c r="CD3990" s="8"/>
    </row>
    <row r="3991" spans="73:82" ht="15.75">
      <c r="BU3991" s="8"/>
      <c r="BZ3991" s="8"/>
      <c r="CD3991" s="8"/>
    </row>
    <row r="3992" spans="73:82" ht="15.75">
      <c r="BU3992" s="8"/>
      <c r="BZ3992" s="8"/>
      <c r="CD3992" s="8"/>
    </row>
    <row r="3993" spans="73:82" ht="15.75">
      <c r="BU3993" s="8"/>
      <c r="BZ3993" s="8"/>
      <c r="CD3993" s="8"/>
    </row>
    <row r="3994" spans="73:82" ht="15.75">
      <c r="BU3994" s="8"/>
      <c r="BZ3994" s="8"/>
      <c r="CD3994" s="8"/>
    </row>
    <row r="3995" spans="73:82" ht="15.75">
      <c r="BU3995" s="8"/>
      <c r="BZ3995" s="8"/>
      <c r="CD3995" s="8"/>
    </row>
    <row r="3996" spans="73:82" ht="15.75">
      <c r="BU3996" s="8"/>
      <c r="BZ3996" s="8"/>
      <c r="CD3996" s="8"/>
    </row>
    <row r="3997" spans="73:82" ht="15.75">
      <c r="BU3997" s="8"/>
      <c r="BZ3997" s="8"/>
      <c r="CD3997" s="8"/>
    </row>
    <row r="3998" spans="73:82" ht="15.75">
      <c r="BU3998" s="8"/>
      <c r="BZ3998" s="8"/>
      <c r="CD3998" s="8"/>
    </row>
    <row r="3999" spans="73:82" ht="15.75">
      <c r="BU3999" s="8"/>
      <c r="BZ3999" s="8"/>
      <c r="CD3999" s="8"/>
    </row>
    <row r="4000" spans="73:82" ht="15.75">
      <c r="BU4000" s="8"/>
      <c r="BZ4000" s="8"/>
      <c r="CD4000" s="8"/>
    </row>
    <row r="4001" spans="73:82" ht="15.75">
      <c r="BU4001" s="8"/>
      <c r="BZ4001" s="8"/>
      <c r="CD4001" s="8"/>
    </row>
    <row r="4002" spans="73:82" ht="15.75">
      <c r="BU4002" s="8"/>
      <c r="BZ4002" s="8"/>
      <c r="CD4002" s="8"/>
    </row>
    <row r="4003" spans="73:82" ht="15.75">
      <c r="BU4003" s="8"/>
      <c r="BZ4003" s="8"/>
      <c r="CD4003" s="8"/>
    </row>
    <row r="4004" spans="73:82" ht="15.75">
      <c r="BU4004" s="8"/>
      <c r="BZ4004" s="8"/>
      <c r="CD4004" s="8"/>
    </row>
    <row r="4005" spans="73:82" ht="15.75">
      <c r="BU4005" s="8"/>
      <c r="BZ4005" s="8"/>
      <c r="CD4005" s="8"/>
    </row>
    <row r="4006" spans="73:82" ht="15.75">
      <c r="BU4006" s="8"/>
      <c r="BZ4006" s="8"/>
      <c r="CD4006" s="8"/>
    </row>
    <row r="4007" spans="73:82" ht="15.75">
      <c r="BU4007" s="8"/>
      <c r="BZ4007" s="8"/>
      <c r="CD4007" s="8"/>
    </row>
    <row r="4008" spans="73:82" ht="15.75">
      <c r="BU4008" s="8"/>
      <c r="BZ4008" s="8"/>
      <c r="CD4008" s="8"/>
    </row>
    <row r="4009" spans="73:82" ht="15.75">
      <c r="BU4009" s="8"/>
      <c r="BZ4009" s="8"/>
      <c r="CD4009" s="8"/>
    </row>
    <row r="4010" spans="73:82" ht="15.75">
      <c r="BU4010" s="8"/>
      <c r="BZ4010" s="8"/>
      <c r="CD4010" s="8"/>
    </row>
    <row r="4011" spans="73:82" ht="15.75">
      <c r="BU4011" s="8"/>
      <c r="BZ4011" s="8"/>
      <c r="CD4011" s="8"/>
    </row>
    <row r="4012" spans="73:82" ht="15.75">
      <c r="BU4012" s="8"/>
      <c r="BZ4012" s="8"/>
      <c r="CD4012" s="8"/>
    </row>
    <row r="4013" spans="73:82" ht="15.75">
      <c r="BU4013" s="8"/>
      <c r="BZ4013" s="8"/>
      <c r="CD4013" s="8"/>
    </row>
    <row r="4014" spans="73:82" ht="15.75">
      <c r="BU4014" s="8"/>
      <c r="BZ4014" s="8"/>
      <c r="CD4014" s="8"/>
    </row>
    <row r="4015" spans="73:82" ht="15.75">
      <c r="BU4015" s="8"/>
      <c r="BZ4015" s="8"/>
      <c r="CD4015" s="8"/>
    </row>
    <row r="4016" spans="73:82" ht="15.75">
      <c r="BU4016" s="8"/>
      <c r="BZ4016" s="8"/>
      <c r="CD4016" s="8"/>
    </row>
    <row r="4017" spans="73:82" ht="15.75">
      <c r="BU4017" s="8"/>
      <c r="BZ4017" s="8"/>
      <c r="CD4017" s="8"/>
    </row>
    <row r="4018" spans="73:82" ht="15.75">
      <c r="BU4018" s="8"/>
      <c r="BZ4018" s="8"/>
      <c r="CD4018" s="8"/>
    </row>
    <row r="4019" spans="73:82" ht="15.75">
      <c r="BU4019" s="8"/>
      <c r="BZ4019" s="8"/>
      <c r="CD4019" s="8"/>
    </row>
    <row r="4020" spans="73:82" ht="15.75">
      <c r="BU4020" s="8"/>
      <c r="BZ4020" s="8"/>
      <c r="CD4020" s="8"/>
    </row>
    <row r="4021" spans="73:82" ht="15.75">
      <c r="BU4021" s="8"/>
      <c r="BZ4021" s="8"/>
      <c r="CD4021" s="8"/>
    </row>
    <row r="4022" spans="73:82" ht="15.75">
      <c r="BU4022" s="8"/>
      <c r="BZ4022" s="8"/>
      <c r="CD4022" s="8"/>
    </row>
    <row r="4023" spans="73:82" ht="15.75">
      <c r="BU4023" s="8"/>
      <c r="BZ4023" s="8"/>
      <c r="CD4023" s="8"/>
    </row>
    <row r="4024" spans="73:82" ht="15.75">
      <c r="BU4024" s="8"/>
      <c r="BZ4024" s="8"/>
      <c r="CD4024" s="8"/>
    </row>
    <row r="4025" spans="73:82" ht="15.75">
      <c r="BU4025" s="8"/>
      <c r="BZ4025" s="8"/>
      <c r="CD4025" s="8"/>
    </row>
    <row r="4026" spans="73:82" ht="15.75">
      <c r="BU4026" s="8"/>
      <c r="BZ4026" s="8"/>
      <c r="CD4026" s="8"/>
    </row>
    <row r="4027" spans="73:82" ht="15.75">
      <c r="BU4027" s="8"/>
      <c r="BZ4027" s="8"/>
      <c r="CD4027" s="8"/>
    </row>
    <row r="4028" spans="73:82" ht="15.75">
      <c r="BU4028" s="8"/>
      <c r="BZ4028" s="8"/>
      <c r="CD4028" s="8"/>
    </row>
    <row r="4029" spans="73:82" ht="15.75">
      <c r="BU4029" s="8"/>
      <c r="BZ4029" s="8"/>
      <c r="CD4029" s="8"/>
    </row>
    <row r="4030" spans="73:82" ht="15.75">
      <c r="BU4030" s="8"/>
      <c r="BZ4030" s="8"/>
      <c r="CD4030" s="8"/>
    </row>
    <row r="4031" spans="73:82" ht="15.75">
      <c r="BU4031" s="8"/>
      <c r="BZ4031" s="8"/>
      <c r="CD4031" s="8"/>
    </row>
    <row r="4032" spans="73:82" ht="15.75">
      <c r="BU4032" s="8"/>
      <c r="BZ4032" s="8"/>
      <c r="CD4032" s="8"/>
    </row>
    <row r="4033" spans="73:82" ht="15.75">
      <c r="BU4033" s="8"/>
      <c r="BZ4033" s="8"/>
      <c r="CD4033" s="8"/>
    </row>
    <row r="4034" spans="73:82" ht="15.75">
      <c r="BU4034" s="8"/>
      <c r="BZ4034" s="8"/>
      <c r="CD4034" s="8"/>
    </row>
    <row r="4035" spans="73:82" ht="15.75">
      <c r="BU4035" s="8"/>
      <c r="BZ4035" s="8"/>
      <c r="CD4035" s="8"/>
    </row>
    <row r="4036" spans="73:82" ht="15.75">
      <c r="BU4036" s="8"/>
      <c r="BZ4036" s="8"/>
      <c r="CD4036" s="8"/>
    </row>
    <row r="4037" spans="73:82" ht="15.75">
      <c r="BU4037" s="8"/>
      <c r="BZ4037" s="8"/>
      <c r="CD4037" s="8"/>
    </row>
    <row r="4038" spans="73:82" ht="15.75">
      <c r="BU4038" s="8"/>
      <c r="BZ4038" s="8"/>
      <c r="CD4038" s="8"/>
    </row>
    <row r="4039" spans="73:82" ht="15.75">
      <c r="BU4039" s="8"/>
      <c r="BZ4039" s="8"/>
      <c r="CD4039" s="8"/>
    </row>
    <row r="4040" spans="73:82" ht="15.75">
      <c r="BU4040" s="8"/>
      <c r="BZ4040" s="8"/>
      <c r="CD4040" s="8"/>
    </row>
    <row r="4041" spans="73:82" ht="15.75">
      <c r="BU4041" s="8"/>
      <c r="BZ4041" s="8"/>
      <c r="CD4041" s="8"/>
    </row>
    <row r="4042" spans="73:82" ht="15.75">
      <c r="BU4042" s="8"/>
      <c r="BZ4042" s="8"/>
      <c r="CD4042" s="8"/>
    </row>
    <row r="4043" spans="73:82" ht="15.75">
      <c r="BU4043" s="8"/>
      <c r="BZ4043" s="8"/>
      <c r="CD4043" s="8"/>
    </row>
    <row r="4044" spans="73:82" ht="15.75">
      <c r="BU4044" s="8"/>
      <c r="BZ4044" s="8"/>
      <c r="CD4044" s="8"/>
    </row>
    <row r="4045" spans="73:82" ht="15.75">
      <c r="BU4045" s="8"/>
      <c r="BZ4045" s="8"/>
      <c r="CD4045" s="8"/>
    </row>
    <row r="4046" spans="73:82" ht="15.75">
      <c r="BU4046" s="8"/>
      <c r="BZ4046" s="8"/>
      <c r="CD4046" s="8"/>
    </row>
    <row r="4047" spans="73:82" ht="15.75">
      <c r="BU4047" s="8"/>
      <c r="BZ4047" s="8"/>
      <c r="CD4047" s="8"/>
    </row>
    <row r="4048" spans="73:82" ht="15.75">
      <c r="BU4048" s="8"/>
      <c r="BZ4048" s="8"/>
      <c r="CD4048" s="8"/>
    </row>
    <row r="4049" spans="73:82" ht="15.75">
      <c r="BU4049" s="8"/>
      <c r="BZ4049" s="8"/>
      <c r="CD4049" s="8"/>
    </row>
    <row r="4050" spans="73:82" ht="15.75">
      <c r="BU4050" s="8"/>
      <c r="BZ4050" s="8"/>
      <c r="CD4050" s="8"/>
    </row>
    <row r="4051" spans="73:82" ht="15.75">
      <c r="BU4051" s="8"/>
      <c r="BZ4051" s="8"/>
      <c r="CD4051" s="8"/>
    </row>
    <row r="4052" spans="73:82" ht="15.75">
      <c r="BU4052" s="8"/>
      <c r="BZ4052" s="8"/>
      <c r="CD4052" s="8"/>
    </row>
    <row r="4053" spans="73:82" ht="15.75">
      <c r="BU4053" s="8"/>
      <c r="BZ4053" s="8"/>
      <c r="CD4053" s="8"/>
    </row>
    <row r="4054" spans="73:82" ht="15.75">
      <c r="BU4054" s="8"/>
      <c r="BZ4054" s="8"/>
      <c r="CD4054" s="8"/>
    </row>
    <row r="4055" spans="73:82" ht="15.75">
      <c r="BU4055" s="8"/>
      <c r="BZ4055" s="8"/>
      <c r="CD4055" s="8"/>
    </row>
    <row r="4056" spans="73:82" ht="15.75">
      <c r="BU4056" s="8"/>
      <c r="BZ4056" s="8"/>
      <c r="CD4056" s="8"/>
    </row>
    <row r="4057" spans="73:82" ht="15.75">
      <c r="BU4057" s="8"/>
      <c r="BZ4057" s="8"/>
      <c r="CD4057" s="8"/>
    </row>
    <row r="4058" spans="73:82" ht="15.75">
      <c r="BU4058" s="8"/>
      <c r="BZ4058" s="8"/>
      <c r="CD4058" s="8"/>
    </row>
    <row r="4059" spans="73:82" ht="15.75">
      <c r="BU4059" s="8"/>
      <c r="BZ4059" s="8"/>
      <c r="CD4059" s="8"/>
    </row>
    <row r="4060" spans="73:82" ht="15.75">
      <c r="BU4060" s="8"/>
      <c r="BZ4060" s="8"/>
      <c r="CD4060" s="8"/>
    </row>
    <row r="4061" spans="73:82" ht="15.75">
      <c r="BU4061" s="8"/>
      <c r="BZ4061" s="8"/>
      <c r="CD4061" s="8"/>
    </row>
    <row r="4062" spans="73:82" ht="15.75">
      <c r="BU4062" s="8"/>
      <c r="BZ4062" s="8"/>
      <c r="CD4062" s="8"/>
    </row>
    <row r="4063" spans="73:82" ht="15.75">
      <c r="BU4063" s="8"/>
      <c r="BZ4063" s="8"/>
      <c r="CD4063" s="8"/>
    </row>
    <row r="4064" spans="73:82" ht="15.75">
      <c r="BU4064" s="8"/>
      <c r="BZ4064" s="8"/>
      <c r="CD4064" s="8"/>
    </row>
    <row r="4065" spans="73:82" ht="15.75">
      <c r="BU4065" s="8"/>
      <c r="BZ4065" s="8"/>
      <c r="CD4065" s="8"/>
    </row>
    <row r="4066" spans="73:82" ht="15.75">
      <c r="BU4066" s="8"/>
      <c r="BZ4066" s="8"/>
      <c r="CD4066" s="8"/>
    </row>
    <row r="4067" spans="73:82" ht="15.75">
      <c r="BU4067" s="8"/>
      <c r="BZ4067" s="8"/>
      <c r="CD4067" s="8"/>
    </row>
    <row r="4068" spans="73:82" ht="15.75">
      <c r="BU4068" s="8"/>
      <c r="BZ4068" s="8"/>
      <c r="CD4068" s="8"/>
    </row>
    <row r="4069" spans="73:82" ht="15.75">
      <c r="BU4069" s="8"/>
      <c r="BZ4069" s="8"/>
      <c r="CD4069" s="8"/>
    </row>
    <row r="4070" spans="73:82" ht="15.75">
      <c r="BU4070" s="8"/>
      <c r="BZ4070" s="8"/>
      <c r="CD4070" s="8"/>
    </row>
    <row r="4071" spans="73:82" ht="15.75">
      <c r="BU4071" s="8"/>
      <c r="BZ4071" s="8"/>
      <c r="CD4071" s="8"/>
    </row>
    <row r="4072" spans="73:82" ht="15.75">
      <c r="BU4072" s="8"/>
      <c r="BZ4072" s="8"/>
      <c r="CD4072" s="8"/>
    </row>
    <row r="4073" spans="73:82" ht="15.75">
      <c r="BU4073" s="8"/>
      <c r="BZ4073" s="8"/>
      <c r="CD4073" s="8"/>
    </row>
    <row r="4074" spans="73:82" ht="15.75">
      <c r="BU4074" s="8"/>
      <c r="BZ4074" s="8"/>
      <c r="CD4074" s="8"/>
    </row>
    <row r="4075" spans="73:82" ht="15.75">
      <c r="BU4075" s="8"/>
      <c r="BZ4075" s="8"/>
      <c r="CD4075" s="8"/>
    </row>
    <row r="4076" spans="73:82" ht="15.75">
      <c r="BU4076" s="8"/>
      <c r="BZ4076" s="8"/>
      <c r="CD4076" s="8"/>
    </row>
    <row r="4077" spans="73:82" ht="15.75">
      <c r="BU4077" s="8"/>
      <c r="BZ4077" s="8"/>
      <c r="CD4077" s="8"/>
    </row>
    <row r="4078" spans="73:82" ht="15.75">
      <c r="BU4078" s="8"/>
      <c r="BZ4078" s="8"/>
      <c r="CD4078" s="8"/>
    </row>
    <row r="4079" spans="73:82" ht="15.75">
      <c r="BU4079" s="8"/>
      <c r="BZ4079" s="8"/>
      <c r="CD4079" s="8"/>
    </row>
    <row r="4080" spans="73:82" ht="15.75">
      <c r="BU4080" s="8"/>
      <c r="BZ4080" s="8"/>
      <c r="CD4080" s="8"/>
    </row>
    <row r="4081" spans="73:82" ht="15.75">
      <c r="BU4081" s="8"/>
      <c r="BZ4081" s="8"/>
      <c r="CD4081" s="8"/>
    </row>
    <row r="4082" spans="73:82" ht="15.75">
      <c r="BU4082" s="8"/>
      <c r="BZ4082" s="8"/>
      <c r="CD4082" s="8"/>
    </row>
    <row r="4083" spans="73:82" ht="15.75">
      <c r="BU4083" s="8"/>
      <c r="BZ4083" s="8"/>
      <c r="CD4083" s="8"/>
    </row>
    <row r="4084" spans="73:82" ht="15.75">
      <c r="BU4084" s="8"/>
      <c r="BZ4084" s="8"/>
      <c r="CD4084" s="8"/>
    </row>
    <row r="4085" spans="73:82" ht="15.75">
      <c r="BU4085" s="8"/>
      <c r="BZ4085" s="8"/>
      <c r="CD4085" s="8"/>
    </row>
    <row r="4086" spans="73:82" ht="15.75">
      <c r="BU4086" s="8"/>
      <c r="BZ4086" s="8"/>
      <c r="CD4086" s="8"/>
    </row>
    <row r="4087" spans="73:82" ht="15.75">
      <c r="BU4087" s="8"/>
      <c r="BZ4087" s="8"/>
      <c r="CD4087" s="8"/>
    </row>
    <row r="4088" spans="73:82" ht="15.75">
      <c r="BU4088" s="8"/>
      <c r="BZ4088" s="8"/>
      <c r="CD4088" s="8"/>
    </row>
    <row r="4089" spans="73:82" ht="15.75">
      <c r="BU4089" s="8"/>
      <c r="BZ4089" s="8"/>
      <c r="CD4089" s="8"/>
    </row>
    <row r="4090" spans="73:82" ht="15.75">
      <c r="BU4090" s="8"/>
      <c r="BZ4090" s="8"/>
      <c r="CD4090" s="8"/>
    </row>
    <row r="4091" spans="73:82" ht="15.75">
      <c r="BU4091" s="8"/>
      <c r="BZ4091" s="8"/>
      <c r="CD4091" s="8"/>
    </row>
    <row r="4092" spans="73:82" ht="15.75">
      <c r="BU4092" s="8"/>
      <c r="BZ4092" s="8"/>
      <c r="CD4092" s="8"/>
    </row>
    <row r="4093" spans="73:82" ht="15.75">
      <c r="BU4093" s="8"/>
      <c r="BZ4093" s="8"/>
      <c r="CD4093" s="8"/>
    </row>
    <row r="4094" spans="73:82" ht="15.75">
      <c r="BU4094" s="8"/>
      <c r="BZ4094" s="8"/>
      <c r="CD4094" s="8"/>
    </row>
    <row r="4095" spans="73:82" ht="15.75">
      <c r="BU4095" s="8"/>
      <c r="BZ4095" s="8"/>
      <c r="CD4095" s="8"/>
    </row>
    <row r="4096" spans="73:82" ht="15.75">
      <c r="BU4096" s="8"/>
      <c r="BZ4096" s="8"/>
      <c r="CD4096" s="8"/>
    </row>
    <row r="4097" spans="73:82" ht="15.75">
      <c r="BU4097" s="8"/>
      <c r="BZ4097" s="8"/>
      <c r="CD4097" s="8"/>
    </row>
    <row r="4098" spans="73:82" ht="15.75">
      <c r="BU4098" s="8"/>
      <c r="BZ4098" s="8"/>
      <c r="CD4098" s="8"/>
    </row>
    <row r="4099" spans="73:82" ht="15.75">
      <c r="BU4099" s="8"/>
      <c r="BZ4099" s="8"/>
      <c r="CD4099" s="8"/>
    </row>
    <row r="4100" spans="73:82" ht="15.75">
      <c r="BU4100" s="8"/>
      <c r="BZ4100" s="8"/>
      <c r="CD4100" s="8"/>
    </row>
    <row r="4101" spans="73:82" ht="15.75">
      <c r="BU4101" s="8"/>
      <c r="BZ4101" s="8"/>
      <c r="CD4101" s="8"/>
    </row>
    <row r="4102" spans="73:82" ht="15.75">
      <c r="BU4102" s="8"/>
      <c r="BZ4102" s="8"/>
      <c r="CD4102" s="8"/>
    </row>
    <row r="4103" spans="73:82" ht="15.75">
      <c r="BU4103" s="8"/>
      <c r="BZ4103" s="8"/>
      <c r="CD4103" s="8"/>
    </row>
    <row r="4104" spans="73:82" ht="15.75">
      <c r="BU4104" s="8"/>
      <c r="BZ4104" s="8"/>
      <c r="CD4104" s="8"/>
    </row>
    <row r="4105" spans="73:82" ht="15.75">
      <c r="BU4105" s="8"/>
      <c r="BZ4105" s="8"/>
      <c r="CD4105" s="8"/>
    </row>
    <row r="4106" spans="73:82" ht="15.75">
      <c r="BU4106" s="8"/>
      <c r="BZ4106" s="8"/>
      <c r="CD4106" s="8"/>
    </row>
    <row r="4107" spans="73:82" ht="15.75">
      <c r="BU4107" s="8"/>
      <c r="BZ4107" s="8"/>
      <c r="CD4107" s="8"/>
    </row>
    <row r="4108" spans="73:82" ht="15.75">
      <c r="BU4108" s="8"/>
      <c r="BZ4108" s="8"/>
      <c r="CD4108" s="8"/>
    </row>
    <row r="4109" spans="73:82" ht="15.75">
      <c r="BU4109" s="8"/>
      <c r="BZ4109" s="8"/>
      <c r="CD4109" s="8"/>
    </row>
    <row r="4110" spans="73:82" ht="15.75">
      <c r="BU4110" s="8"/>
      <c r="BZ4110" s="8"/>
      <c r="CD4110" s="8"/>
    </row>
    <row r="4111" spans="73:82" ht="15.75">
      <c r="BU4111" s="8"/>
      <c r="BZ4111" s="8"/>
      <c r="CD4111" s="8"/>
    </row>
    <row r="4112" spans="73:82" ht="15.75">
      <c r="BU4112" s="8"/>
      <c r="BZ4112" s="8"/>
      <c r="CD4112" s="8"/>
    </row>
    <row r="4113" spans="73:82" ht="15.75">
      <c r="BU4113" s="8"/>
      <c r="BZ4113" s="8"/>
      <c r="CD4113" s="8"/>
    </row>
    <row r="4114" spans="73:82" ht="15.75">
      <c r="BU4114" s="8"/>
      <c r="BZ4114" s="8"/>
      <c r="CD4114" s="8"/>
    </row>
    <row r="4115" spans="73:82" ht="15.75">
      <c r="BU4115" s="8"/>
      <c r="BZ4115" s="8"/>
      <c r="CD4115" s="8"/>
    </row>
    <row r="4116" spans="73:82" ht="15.75">
      <c r="BU4116" s="8"/>
      <c r="BZ4116" s="8"/>
      <c r="CD4116" s="8"/>
    </row>
    <row r="4117" spans="73:82" ht="15.75">
      <c r="BU4117" s="8"/>
      <c r="BZ4117" s="8"/>
      <c r="CD4117" s="8"/>
    </row>
    <row r="4118" spans="73:82" ht="15.75">
      <c r="BU4118" s="8"/>
      <c r="BZ4118" s="8"/>
      <c r="CD4118" s="8"/>
    </row>
    <row r="4119" spans="73:82" ht="15.75">
      <c r="BU4119" s="8"/>
      <c r="BZ4119" s="8"/>
      <c r="CD4119" s="8"/>
    </row>
    <row r="4120" spans="73:82" ht="15.75">
      <c r="BU4120" s="8"/>
      <c r="BZ4120" s="8"/>
      <c r="CD4120" s="8"/>
    </row>
    <row r="4121" spans="73:82" ht="15.75">
      <c r="BU4121" s="8"/>
      <c r="BZ4121" s="8"/>
      <c r="CD4121" s="8"/>
    </row>
    <row r="4122" spans="73:82" ht="15.75">
      <c r="BU4122" s="8"/>
      <c r="BZ4122" s="8"/>
      <c r="CD4122" s="8"/>
    </row>
    <row r="4123" spans="73:82" ht="15.75">
      <c r="BU4123" s="8"/>
      <c r="BZ4123" s="8"/>
      <c r="CD4123" s="8"/>
    </row>
    <row r="4124" spans="73:82" ht="15.75">
      <c r="BU4124" s="8"/>
      <c r="BZ4124" s="8"/>
      <c r="CD4124" s="8"/>
    </row>
    <row r="4125" spans="73:82" ht="15.75">
      <c r="BU4125" s="8"/>
      <c r="BZ4125" s="8"/>
      <c r="CD4125" s="8"/>
    </row>
    <row r="4126" spans="73:82" ht="15.75">
      <c r="BU4126" s="8"/>
      <c r="BZ4126" s="8"/>
      <c r="CD4126" s="8"/>
    </row>
    <row r="4127" spans="73:82" ht="15.75">
      <c r="BU4127" s="8"/>
      <c r="BZ4127" s="8"/>
      <c r="CD4127" s="8"/>
    </row>
    <row r="4128" spans="73:82" ht="15.75">
      <c r="BU4128" s="8"/>
      <c r="BZ4128" s="8"/>
      <c r="CD4128" s="8"/>
    </row>
    <row r="4129" spans="73:82" ht="15.75">
      <c r="BU4129" s="8"/>
      <c r="BZ4129" s="8"/>
      <c r="CD4129" s="8"/>
    </row>
    <row r="4130" spans="73:82" ht="15.75">
      <c r="BU4130" s="8"/>
      <c r="BZ4130" s="8"/>
      <c r="CD4130" s="8"/>
    </row>
    <row r="4131" spans="73:82" ht="15.75">
      <c r="BU4131" s="8"/>
      <c r="BZ4131" s="8"/>
      <c r="CD4131" s="8"/>
    </row>
    <row r="4132" spans="73:82" ht="15.75">
      <c r="BU4132" s="8"/>
      <c r="BZ4132" s="8"/>
      <c r="CD4132" s="8"/>
    </row>
    <row r="4133" spans="73:82" ht="15.75">
      <c r="BU4133" s="8"/>
      <c r="BZ4133" s="8"/>
      <c r="CD4133" s="8"/>
    </row>
    <row r="4134" spans="73:82" ht="15.75">
      <c r="BU4134" s="8"/>
      <c r="BZ4134" s="8"/>
      <c r="CD4134" s="8"/>
    </row>
    <row r="4135" spans="73:82" ht="15.75">
      <c r="BU4135" s="8"/>
      <c r="BZ4135" s="8"/>
      <c r="CD4135" s="8"/>
    </row>
    <row r="4136" spans="73:82" ht="15.75">
      <c r="BU4136" s="8"/>
      <c r="BZ4136" s="8"/>
      <c r="CD4136" s="8"/>
    </row>
    <row r="4137" spans="73:82" ht="15.75">
      <c r="BU4137" s="8"/>
      <c r="BZ4137" s="8"/>
      <c r="CD4137" s="8"/>
    </row>
    <row r="4138" spans="73:82" ht="15.75">
      <c r="BU4138" s="8"/>
      <c r="BZ4138" s="8"/>
      <c r="CD4138" s="8"/>
    </row>
    <row r="4139" spans="73:82" ht="15.75">
      <c r="BU4139" s="8"/>
      <c r="BZ4139" s="8"/>
      <c r="CD4139" s="8"/>
    </row>
    <row r="4140" spans="73:82" ht="15.75">
      <c r="BU4140" s="8"/>
      <c r="BZ4140" s="8"/>
      <c r="CD4140" s="8"/>
    </row>
    <row r="4141" spans="73:82" ht="15.75">
      <c r="BU4141" s="8"/>
      <c r="BZ4141" s="8"/>
      <c r="CD4141" s="8"/>
    </row>
    <row r="4142" spans="73:82" ht="15.75">
      <c r="BU4142" s="8"/>
      <c r="BZ4142" s="8"/>
      <c r="CD4142" s="8"/>
    </row>
    <row r="4143" spans="73:82" ht="15.75">
      <c r="BU4143" s="8"/>
      <c r="BZ4143" s="8"/>
      <c r="CD4143" s="8"/>
    </row>
    <row r="4144" spans="73:82" ht="15.75">
      <c r="BU4144" s="8"/>
      <c r="BZ4144" s="8"/>
      <c r="CD4144" s="8"/>
    </row>
    <row r="4145" spans="73:82" ht="15.75">
      <c r="BU4145" s="8"/>
      <c r="BZ4145" s="8"/>
      <c r="CD4145" s="8"/>
    </row>
    <row r="4146" spans="73:82" ht="15.75">
      <c r="BU4146" s="8"/>
      <c r="BZ4146" s="8"/>
      <c r="CD4146" s="8"/>
    </row>
    <row r="4147" spans="73:82" ht="15.75">
      <c r="BU4147" s="8"/>
      <c r="BZ4147" s="8"/>
      <c r="CD4147" s="8"/>
    </row>
    <row r="4148" spans="73:82" ht="15.75">
      <c r="BU4148" s="8"/>
      <c r="BZ4148" s="8"/>
      <c r="CD4148" s="8"/>
    </row>
    <row r="4149" spans="73:82" ht="15.75">
      <c r="BU4149" s="8"/>
      <c r="BZ4149" s="8"/>
      <c r="CD4149" s="8"/>
    </row>
    <row r="4150" spans="73:82" ht="15.75">
      <c r="BU4150" s="8"/>
      <c r="BZ4150" s="8"/>
      <c r="CD4150" s="8"/>
    </row>
    <row r="4151" spans="73:82" ht="15.75">
      <c r="BU4151" s="8"/>
      <c r="BZ4151" s="8"/>
      <c r="CD4151" s="8"/>
    </row>
    <row r="4152" spans="73:82" ht="15.75">
      <c r="BU4152" s="8"/>
      <c r="BZ4152" s="8"/>
      <c r="CD4152" s="8"/>
    </row>
    <row r="4153" spans="73:82" ht="15.75">
      <c r="BU4153" s="8"/>
      <c r="BZ4153" s="8"/>
      <c r="CD4153" s="8"/>
    </row>
    <row r="4154" spans="73:82" ht="15.75">
      <c r="BU4154" s="8"/>
      <c r="BZ4154" s="8"/>
      <c r="CD4154" s="8"/>
    </row>
    <row r="4155" spans="73:82" ht="15.75">
      <c r="BU4155" s="8"/>
      <c r="BZ4155" s="8"/>
      <c r="CD4155" s="8"/>
    </row>
    <row r="4156" spans="73:82" ht="15.75">
      <c r="BU4156" s="8"/>
      <c r="BZ4156" s="8"/>
      <c r="CD4156" s="8"/>
    </row>
    <row r="4157" spans="73:82" ht="15.75">
      <c r="BU4157" s="8"/>
      <c r="BZ4157" s="8"/>
      <c r="CD4157" s="8"/>
    </row>
    <row r="4158" spans="73:82" ht="15.75">
      <c r="BU4158" s="8"/>
      <c r="BZ4158" s="8"/>
      <c r="CD4158" s="8"/>
    </row>
    <row r="4159" spans="73:82" ht="15.75">
      <c r="BU4159" s="8"/>
      <c r="BZ4159" s="8"/>
      <c r="CD4159" s="8"/>
    </row>
    <row r="4160" spans="73:82" ht="15.75">
      <c r="BU4160" s="8"/>
      <c r="BZ4160" s="8"/>
      <c r="CD4160" s="8"/>
    </row>
    <row r="4161" spans="73:82" ht="15.75">
      <c r="BU4161" s="8"/>
      <c r="BZ4161" s="8"/>
      <c r="CD4161" s="8"/>
    </row>
    <row r="4162" spans="73:82" ht="15.75">
      <c r="BU4162" s="8"/>
      <c r="BZ4162" s="8"/>
      <c r="CD4162" s="8"/>
    </row>
    <row r="4163" spans="73:82" ht="15.75">
      <c r="BU4163" s="8"/>
      <c r="BZ4163" s="8"/>
      <c r="CD4163" s="8"/>
    </row>
    <row r="4164" spans="73:82" ht="15.75">
      <c r="BU4164" s="8"/>
      <c r="BZ4164" s="8"/>
      <c r="CD4164" s="8"/>
    </row>
    <row r="4165" spans="73:82" ht="15.75">
      <c r="BU4165" s="8"/>
      <c r="BZ4165" s="8"/>
      <c r="CD4165" s="8"/>
    </row>
    <row r="4166" spans="73:82" ht="15.75">
      <c r="BU4166" s="8"/>
      <c r="BZ4166" s="8"/>
      <c r="CD4166" s="8"/>
    </row>
    <row r="4167" spans="73:82" ht="15.75">
      <c r="BU4167" s="8"/>
      <c r="BZ4167" s="8"/>
      <c r="CD4167" s="8"/>
    </row>
    <row r="4168" spans="73:82" ht="15.75">
      <c r="BU4168" s="8"/>
      <c r="BZ4168" s="8"/>
      <c r="CD4168" s="8"/>
    </row>
    <row r="4169" spans="73:82" ht="15.75">
      <c r="BU4169" s="8"/>
      <c r="BZ4169" s="8"/>
      <c r="CD4169" s="8"/>
    </row>
    <row r="4170" spans="73:82" ht="15.75">
      <c r="BU4170" s="8"/>
      <c r="BZ4170" s="8"/>
      <c r="CD4170" s="8"/>
    </row>
    <row r="4171" spans="73:82" ht="15.75">
      <c r="BU4171" s="8"/>
      <c r="BZ4171" s="8"/>
      <c r="CD4171" s="8"/>
    </row>
    <row r="4172" spans="73:82" ht="15.75">
      <c r="BU4172" s="8"/>
      <c r="BZ4172" s="8"/>
      <c r="CD4172" s="8"/>
    </row>
    <row r="4173" spans="73:82" ht="15.75">
      <c r="BU4173" s="8"/>
      <c r="BZ4173" s="8"/>
      <c r="CD4173" s="8"/>
    </row>
    <row r="4174" spans="73:82" ht="15.75">
      <c r="BU4174" s="8"/>
      <c r="BZ4174" s="8"/>
      <c r="CD4174" s="8"/>
    </row>
    <row r="4175" spans="73:82" ht="15.75">
      <c r="BU4175" s="8"/>
      <c r="BZ4175" s="8"/>
      <c r="CD4175" s="8"/>
    </row>
    <row r="4176" spans="73:82" ht="15.75">
      <c r="BU4176" s="8"/>
      <c r="BZ4176" s="8"/>
      <c r="CD4176" s="8"/>
    </row>
    <row r="4177" spans="73:82" ht="15.75">
      <c r="BU4177" s="8"/>
      <c r="BZ4177" s="8"/>
      <c r="CD4177" s="8"/>
    </row>
    <row r="4178" spans="73:82" ht="15.75">
      <c r="BU4178" s="8"/>
      <c r="BZ4178" s="8"/>
      <c r="CD4178" s="8"/>
    </row>
    <row r="4179" spans="73:82" ht="15.75">
      <c r="BU4179" s="8"/>
      <c r="BZ4179" s="8"/>
      <c r="CD4179" s="8"/>
    </row>
    <row r="4180" spans="73:82" ht="15.75">
      <c r="BU4180" s="8"/>
      <c r="BZ4180" s="8"/>
      <c r="CD4180" s="8"/>
    </row>
    <row r="4181" spans="73:82" ht="15.75">
      <c r="BU4181" s="8"/>
      <c r="BZ4181" s="8"/>
      <c r="CD4181" s="8"/>
    </row>
    <row r="4182" spans="73:82" ht="15.75">
      <c r="BU4182" s="8"/>
      <c r="BZ4182" s="8"/>
      <c r="CD4182" s="8"/>
    </row>
    <row r="4183" spans="73:82" ht="15.75">
      <c r="BU4183" s="8"/>
      <c r="BZ4183" s="8"/>
      <c r="CD4183" s="8"/>
    </row>
    <row r="4184" spans="73:82" ht="15.75">
      <c r="BU4184" s="8"/>
      <c r="BZ4184" s="8"/>
      <c r="CD4184" s="8"/>
    </row>
    <row r="4185" spans="73:82" ht="15.75">
      <c r="BU4185" s="8"/>
      <c r="BZ4185" s="8"/>
      <c r="CD4185" s="8"/>
    </row>
    <row r="4186" spans="73:82" ht="15.75">
      <c r="BU4186" s="8"/>
      <c r="BZ4186" s="8"/>
      <c r="CD4186" s="8"/>
    </row>
    <row r="4187" spans="73:82" ht="15.75">
      <c r="BU4187" s="8"/>
      <c r="BZ4187" s="8"/>
      <c r="CD4187" s="8"/>
    </row>
    <row r="4188" spans="73:82" ht="15.75">
      <c r="BU4188" s="8"/>
      <c r="BZ4188" s="8"/>
      <c r="CD4188" s="8"/>
    </row>
    <row r="4189" spans="73:82" ht="15.75">
      <c r="BU4189" s="8"/>
      <c r="BZ4189" s="8"/>
      <c r="CD4189" s="8"/>
    </row>
    <row r="4190" spans="73:82" ht="15.75">
      <c r="BU4190" s="8"/>
      <c r="BZ4190" s="8"/>
      <c r="CD4190" s="8"/>
    </row>
    <row r="4191" spans="73:82" ht="15.75">
      <c r="BU4191" s="8"/>
      <c r="BZ4191" s="8"/>
      <c r="CD4191" s="8"/>
    </row>
    <row r="4192" spans="73:82" ht="15.75">
      <c r="BU4192" s="8"/>
      <c r="BZ4192" s="8"/>
      <c r="CD4192" s="8"/>
    </row>
    <row r="4193" spans="73:82" ht="15.75">
      <c r="BU4193" s="8"/>
      <c r="BZ4193" s="8"/>
      <c r="CD4193" s="8"/>
    </row>
    <row r="4194" spans="73:82" ht="15.75">
      <c r="BU4194" s="8"/>
      <c r="BZ4194" s="8"/>
      <c r="CD4194" s="8"/>
    </row>
    <row r="4195" spans="73:82" ht="15.75">
      <c r="BU4195" s="8"/>
      <c r="BZ4195" s="8"/>
      <c r="CD4195" s="8"/>
    </row>
    <row r="4196" spans="73:82" ht="15.75">
      <c r="BU4196" s="8"/>
      <c r="BZ4196" s="8"/>
      <c r="CD4196" s="8"/>
    </row>
    <row r="4197" spans="73:82" ht="15.75">
      <c r="BU4197" s="8"/>
      <c r="BZ4197" s="8"/>
      <c r="CD4197" s="8"/>
    </row>
    <row r="4198" spans="73:82" ht="15.75">
      <c r="BU4198" s="8"/>
      <c r="BZ4198" s="8"/>
      <c r="CD4198" s="8"/>
    </row>
    <row r="4199" spans="73:82" ht="15.75">
      <c r="BU4199" s="8"/>
      <c r="BZ4199" s="8"/>
      <c r="CD4199" s="8"/>
    </row>
    <row r="4200" spans="73:82" ht="15.75">
      <c r="BU4200" s="8"/>
      <c r="BZ4200" s="8"/>
      <c r="CD4200" s="8"/>
    </row>
    <row r="4201" spans="73:82" ht="15.75">
      <c r="BU4201" s="8"/>
      <c r="BZ4201" s="8"/>
      <c r="CD4201" s="8"/>
    </row>
    <row r="4202" spans="73:82" ht="15.75">
      <c r="BU4202" s="8"/>
      <c r="BZ4202" s="8"/>
      <c r="CD4202" s="8"/>
    </row>
    <row r="4203" spans="73:82" ht="15.75">
      <c r="BU4203" s="8"/>
      <c r="BZ4203" s="8"/>
      <c r="CD4203" s="8"/>
    </row>
    <row r="4204" spans="73:82" ht="15.75">
      <c r="BU4204" s="8"/>
      <c r="BZ4204" s="8"/>
      <c r="CD4204" s="8"/>
    </row>
    <row r="4205" spans="73:82" ht="15.75">
      <c r="BU4205" s="8"/>
      <c r="BZ4205" s="8"/>
      <c r="CD4205" s="8"/>
    </row>
    <row r="4206" spans="73:82" ht="15.75">
      <c r="BU4206" s="8"/>
      <c r="BZ4206" s="8"/>
      <c r="CD4206" s="8"/>
    </row>
    <row r="4207" spans="73:82" ht="15.75">
      <c r="BU4207" s="8"/>
      <c r="BZ4207" s="8"/>
      <c r="CD4207" s="8"/>
    </row>
    <row r="4208" spans="73:82" ht="15.75">
      <c r="BU4208" s="8"/>
      <c r="BZ4208" s="8"/>
      <c r="CD4208" s="8"/>
    </row>
    <row r="4209" spans="73:82" ht="15.75">
      <c r="BU4209" s="8"/>
      <c r="BZ4209" s="8"/>
      <c r="CD4209" s="8"/>
    </row>
    <row r="4210" spans="73:82" ht="15.75">
      <c r="BU4210" s="8"/>
      <c r="BZ4210" s="8"/>
      <c r="CD4210" s="8"/>
    </row>
    <row r="4211" spans="73:82" ht="15.75">
      <c r="BU4211" s="8"/>
      <c r="BZ4211" s="8"/>
      <c r="CD4211" s="8"/>
    </row>
    <row r="4212" spans="73:82" ht="15.75">
      <c r="BU4212" s="8"/>
      <c r="BZ4212" s="8"/>
      <c r="CD4212" s="8"/>
    </row>
    <row r="4213" spans="73:82" ht="15.75">
      <c r="BU4213" s="8"/>
      <c r="BZ4213" s="8"/>
      <c r="CD4213" s="8"/>
    </row>
    <row r="4214" spans="73:82" ht="15.75">
      <c r="BU4214" s="8"/>
      <c r="BZ4214" s="8"/>
      <c r="CD4214" s="8"/>
    </row>
    <row r="4215" spans="73:82" ht="15.75">
      <c r="BU4215" s="8"/>
      <c r="BZ4215" s="8"/>
      <c r="CD4215" s="8"/>
    </row>
    <row r="4216" spans="73:82" ht="15.75">
      <c r="BU4216" s="8"/>
      <c r="BZ4216" s="8"/>
      <c r="CD4216" s="8"/>
    </row>
    <row r="4217" spans="73:82" ht="15.75">
      <c r="BU4217" s="8"/>
      <c r="BZ4217" s="8"/>
      <c r="CD4217" s="8"/>
    </row>
    <row r="4218" spans="73:82" ht="15.75">
      <c r="BU4218" s="8"/>
      <c r="BZ4218" s="8"/>
      <c r="CD4218" s="8"/>
    </row>
    <row r="4219" spans="73:82" ht="15.75">
      <c r="BU4219" s="8"/>
      <c r="BZ4219" s="8"/>
      <c r="CD4219" s="8"/>
    </row>
    <row r="4220" spans="73:82" ht="15.75">
      <c r="BU4220" s="8"/>
      <c r="BZ4220" s="8"/>
      <c r="CD4220" s="8"/>
    </row>
    <row r="4221" spans="73:82" ht="15.75">
      <c r="BU4221" s="8"/>
      <c r="BZ4221" s="8"/>
      <c r="CD4221" s="8"/>
    </row>
    <row r="4222" spans="73:82" ht="15.75">
      <c r="BU4222" s="8"/>
      <c r="BZ4222" s="8"/>
      <c r="CD4222" s="8"/>
    </row>
    <row r="4223" spans="73:82" ht="15.75">
      <c r="BU4223" s="8"/>
      <c r="BZ4223" s="8"/>
      <c r="CD4223" s="8"/>
    </row>
    <row r="4224" spans="73:82" ht="15.75">
      <c r="BU4224" s="8"/>
      <c r="BZ4224" s="8"/>
      <c r="CD4224" s="8"/>
    </row>
    <row r="4225" spans="73:82" ht="15.75">
      <c r="BU4225" s="8"/>
      <c r="BZ4225" s="8"/>
      <c r="CD4225" s="8"/>
    </row>
    <row r="4226" spans="73:82" ht="15.75">
      <c r="BU4226" s="8"/>
      <c r="BZ4226" s="8"/>
      <c r="CD4226" s="8"/>
    </row>
    <row r="4227" spans="73:82" ht="15.75">
      <c r="BU4227" s="8"/>
      <c r="BZ4227" s="8"/>
      <c r="CD4227" s="8"/>
    </row>
    <row r="4228" spans="73:82" ht="15.75">
      <c r="BU4228" s="8"/>
      <c r="BZ4228" s="8"/>
      <c r="CD4228" s="8"/>
    </row>
    <row r="4229" spans="73:82" ht="15.75">
      <c r="BU4229" s="8"/>
      <c r="BZ4229" s="8"/>
      <c r="CD4229" s="8"/>
    </row>
    <row r="4230" spans="73:82" ht="15.75">
      <c r="BU4230" s="8"/>
      <c r="BZ4230" s="8"/>
      <c r="CD4230" s="8"/>
    </row>
    <row r="4231" spans="73:82" ht="15.75">
      <c r="BU4231" s="8"/>
      <c r="BZ4231" s="8"/>
      <c r="CD4231" s="8"/>
    </row>
    <row r="4232" spans="73:82" ht="15.75">
      <c r="BU4232" s="8"/>
      <c r="BZ4232" s="8"/>
      <c r="CD4232" s="8"/>
    </row>
    <row r="4233" spans="73:82" ht="15.75">
      <c r="BU4233" s="8"/>
      <c r="BZ4233" s="8"/>
      <c r="CD4233" s="8"/>
    </row>
    <row r="4234" spans="73:82" ht="15.75">
      <c r="BU4234" s="8"/>
      <c r="BZ4234" s="8"/>
      <c r="CD4234" s="8"/>
    </row>
    <row r="4235" spans="73:82" ht="15.75">
      <c r="BU4235" s="8"/>
      <c r="BZ4235" s="8"/>
      <c r="CD4235" s="8"/>
    </row>
    <row r="4236" spans="73:82" ht="15.75">
      <c r="BU4236" s="8"/>
      <c r="BZ4236" s="8"/>
      <c r="CD4236" s="8"/>
    </row>
    <row r="4237" spans="73:82" ht="15.75">
      <c r="BU4237" s="8"/>
      <c r="BZ4237" s="8"/>
      <c r="CD4237" s="8"/>
    </row>
    <row r="4238" spans="73:82" ht="15.75">
      <c r="BU4238" s="8"/>
      <c r="BZ4238" s="8"/>
      <c r="CD4238" s="8"/>
    </row>
    <row r="4239" spans="73:82" ht="15.75">
      <c r="BU4239" s="8"/>
      <c r="BZ4239" s="8"/>
      <c r="CD4239" s="8"/>
    </row>
    <row r="4240" spans="73:82" ht="15.75">
      <c r="BU4240" s="8"/>
      <c r="BZ4240" s="8"/>
      <c r="CD4240" s="8"/>
    </row>
    <row r="4241" spans="73:82" ht="15.75">
      <c r="BU4241" s="8"/>
      <c r="BZ4241" s="8"/>
      <c r="CD4241" s="8"/>
    </row>
    <row r="4242" spans="73:82" ht="15.75">
      <c r="BU4242" s="8"/>
      <c r="BZ4242" s="8"/>
      <c r="CD4242" s="8"/>
    </row>
    <row r="4243" spans="73:82" ht="15.75">
      <c r="BU4243" s="8"/>
      <c r="BZ4243" s="8"/>
      <c r="CD4243" s="8"/>
    </row>
    <row r="4244" spans="73:82" ht="15.75">
      <c r="BU4244" s="8"/>
      <c r="BZ4244" s="8"/>
      <c r="CD4244" s="8"/>
    </row>
    <row r="4245" spans="73:82" ht="15.75">
      <c r="BU4245" s="8"/>
      <c r="BZ4245" s="8"/>
      <c r="CD4245" s="8"/>
    </row>
    <row r="4246" spans="73:82" ht="15.75">
      <c r="BU4246" s="8"/>
      <c r="BZ4246" s="8"/>
      <c r="CD4246" s="8"/>
    </row>
    <row r="4247" spans="73:82" ht="15.75">
      <c r="BU4247" s="8"/>
      <c r="BZ4247" s="8"/>
      <c r="CD4247" s="8"/>
    </row>
    <row r="4248" spans="73:82" ht="15.75">
      <c r="BU4248" s="8"/>
      <c r="BZ4248" s="8"/>
      <c r="CD4248" s="8"/>
    </row>
    <row r="4249" spans="73:82" ht="15.75">
      <c r="BU4249" s="8"/>
      <c r="BZ4249" s="8"/>
      <c r="CD4249" s="8"/>
    </row>
    <row r="4250" spans="73:82" ht="15.75">
      <c r="BU4250" s="8"/>
      <c r="BZ4250" s="8"/>
      <c r="CD4250" s="8"/>
    </row>
    <row r="4251" spans="73:82" ht="15.75">
      <c r="BU4251" s="8"/>
      <c r="BZ4251" s="8"/>
      <c r="CD4251" s="8"/>
    </row>
    <row r="4252" spans="73:82" ht="15.75">
      <c r="BU4252" s="8"/>
      <c r="BZ4252" s="8"/>
      <c r="CD4252" s="8"/>
    </row>
    <row r="4253" spans="73:82" ht="15.75">
      <c r="BU4253" s="8"/>
      <c r="BZ4253" s="8"/>
      <c r="CD4253" s="8"/>
    </row>
    <row r="4254" spans="73:82" ht="15.75">
      <c r="BU4254" s="8"/>
      <c r="BZ4254" s="8"/>
      <c r="CD4254" s="8"/>
    </row>
    <row r="4255" spans="73:82" ht="15.75">
      <c r="BU4255" s="8"/>
      <c r="BZ4255" s="8"/>
      <c r="CD4255" s="8"/>
    </row>
    <row r="4256" spans="73:82" ht="15.75">
      <c r="BU4256" s="8"/>
      <c r="BZ4256" s="8"/>
      <c r="CD4256" s="8"/>
    </row>
    <row r="4257" spans="73:82" ht="15.75">
      <c r="BU4257" s="8"/>
      <c r="BZ4257" s="8"/>
      <c r="CD4257" s="8"/>
    </row>
    <row r="4258" spans="73:82" ht="15.75">
      <c r="BU4258" s="8"/>
      <c r="BZ4258" s="8"/>
      <c r="CD4258" s="8"/>
    </row>
    <row r="4259" spans="73:82" ht="15.75">
      <c r="BU4259" s="8"/>
      <c r="BZ4259" s="8"/>
      <c r="CD4259" s="8"/>
    </row>
    <row r="4260" spans="73:82" ht="15.75">
      <c r="BU4260" s="8"/>
      <c r="BZ4260" s="8"/>
      <c r="CD4260" s="8"/>
    </row>
    <row r="4261" spans="73:82" ht="15.75">
      <c r="BU4261" s="8"/>
      <c r="BZ4261" s="8"/>
      <c r="CD4261" s="8"/>
    </row>
    <row r="4262" spans="73:82" ht="15.75">
      <c r="BU4262" s="8"/>
      <c r="BZ4262" s="8"/>
      <c r="CD4262" s="8"/>
    </row>
    <row r="4263" spans="73:82" ht="15.75">
      <c r="BU4263" s="8"/>
      <c r="BZ4263" s="8"/>
      <c r="CD4263" s="8"/>
    </row>
    <row r="4264" spans="73:82" ht="15.75">
      <c r="BU4264" s="8"/>
      <c r="BZ4264" s="8"/>
      <c r="CD4264" s="8"/>
    </row>
    <row r="4265" spans="73:82" ht="15.75">
      <c r="BU4265" s="8"/>
      <c r="BZ4265" s="8"/>
      <c r="CD4265" s="8"/>
    </row>
    <row r="4266" spans="73:82" ht="15.75">
      <c r="BU4266" s="8"/>
      <c r="BZ4266" s="8"/>
      <c r="CD4266" s="8"/>
    </row>
    <row r="4267" spans="73:82" ht="15.75">
      <c r="BU4267" s="8"/>
      <c r="BZ4267" s="8"/>
      <c r="CD4267" s="8"/>
    </row>
    <row r="4268" spans="73:82" ht="15.75">
      <c r="BU4268" s="8"/>
      <c r="BZ4268" s="8"/>
      <c r="CD4268" s="8"/>
    </row>
    <row r="4269" spans="73:82" ht="15.75">
      <c r="BU4269" s="8"/>
      <c r="BZ4269" s="8"/>
      <c r="CD4269" s="8"/>
    </row>
    <row r="4270" spans="73:82" ht="15.75">
      <c r="BU4270" s="8"/>
      <c r="BZ4270" s="8"/>
      <c r="CD4270" s="8"/>
    </row>
    <row r="4271" spans="73:82" ht="15.75">
      <c r="BU4271" s="8"/>
      <c r="BZ4271" s="8"/>
      <c r="CD4271" s="8"/>
    </row>
    <row r="4272" spans="73:82" ht="15.75">
      <c r="BU4272" s="8"/>
      <c r="BZ4272" s="8"/>
      <c r="CD4272" s="8"/>
    </row>
    <row r="4273" spans="73:82" ht="15.75">
      <c r="BU4273" s="8"/>
      <c r="BZ4273" s="8"/>
      <c r="CD4273" s="8"/>
    </row>
    <row r="4274" spans="73:82" ht="15.75">
      <c r="BU4274" s="8"/>
      <c r="BZ4274" s="8"/>
      <c r="CD4274" s="8"/>
    </row>
    <row r="4275" spans="73:82" ht="15.75">
      <c r="BU4275" s="8"/>
      <c r="BZ4275" s="8"/>
      <c r="CD4275" s="8"/>
    </row>
    <row r="4276" spans="73:82" ht="15.75">
      <c r="BU4276" s="8"/>
      <c r="BZ4276" s="8"/>
      <c r="CD4276" s="8"/>
    </row>
    <row r="4277" spans="73:82" ht="15.75">
      <c r="BU4277" s="8"/>
      <c r="BZ4277" s="8"/>
      <c r="CD4277" s="8"/>
    </row>
    <row r="4278" spans="73:82" ht="15.75">
      <c r="BU4278" s="8"/>
      <c r="BZ4278" s="8"/>
      <c r="CD4278" s="8"/>
    </row>
    <row r="4279" spans="73:82" ht="15.75">
      <c r="BU4279" s="8"/>
      <c r="BZ4279" s="8"/>
      <c r="CD4279" s="8"/>
    </row>
    <row r="4280" spans="73:82" ht="15.75">
      <c r="BU4280" s="8"/>
      <c r="BZ4280" s="8"/>
      <c r="CD4280" s="8"/>
    </row>
    <row r="4281" spans="73:82" ht="15.75">
      <c r="BU4281" s="8"/>
      <c r="BZ4281" s="8"/>
      <c r="CD4281" s="8"/>
    </row>
    <row r="4282" spans="73:82" ht="15.75">
      <c r="BU4282" s="8"/>
      <c r="BZ4282" s="8"/>
      <c r="CD4282" s="8"/>
    </row>
    <row r="4283" spans="73:82" ht="15.75">
      <c r="BU4283" s="8"/>
      <c r="BZ4283" s="8"/>
      <c r="CD4283" s="8"/>
    </row>
    <row r="4284" spans="73:82" ht="15.75">
      <c r="BU4284" s="8"/>
      <c r="BZ4284" s="8"/>
      <c r="CD4284" s="8"/>
    </row>
    <row r="4285" spans="73:82" ht="15.75">
      <c r="BU4285" s="8"/>
      <c r="BZ4285" s="8"/>
      <c r="CD4285" s="8"/>
    </row>
    <row r="4286" spans="73:82" ht="15.75">
      <c r="BU4286" s="8"/>
      <c r="BZ4286" s="8"/>
      <c r="CD4286" s="8"/>
    </row>
    <row r="4287" spans="73:82" ht="15.75">
      <c r="BU4287" s="8"/>
      <c r="BZ4287" s="8"/>
      <c r="CD4287" s="8"/>
    </row>
    <row r="4288" spans="73:82" ht="15.75">
      <c r="BU4288" s="8"/>
      <c r="BZ4288" s="8"/>
      <c r="CD4288" s="8"/>
    </row>
    <row r="4289" spans="73:82" ht="15.75">
      <c r="BU4289" s="8"/>
      <c r="BZ4289" s="8"/>
      <c r="CD4289" s="8"/>
    </row>
    <row r="4290" spans="73:82" ht="15.75">
      <c r="BU4290" s="8"/>
      <c r="BZ4290" s="8"/>
      <c r="CD4290" s="8"/>
    </row>
    <row r="4291" spans="73:82" ht="15.75">
      <c r="BU4291" s="8"/>
      <c r="BZ4291" s="8"/>
      <c r="CD4291" s="8"/>
    </row>
    <row r="4292" spans="73:82" ht="15.75">
      <c r="BU4292" s="8"/>
      <c r="BZ4292" s="8"/>
      <c r="CD4292" s="8"/>
    </row>
    <row r="4293" spans="73:82" ht="15.75">
      <c r="BU4293" s="8"/>
      <c r="BZ4293" s="8"/>
      <c r="CD4293" s="8"/>
    </row>
    <row r="4294" spans="73:82" ht="15.75">
      <c r="BU4294" s="8"/>
      <c r="BZ4294" s="8"/>
      <c r="CD4294" s="8"/>
    </row>
    <row r="4295" spans="73:82" ht="15.75">
      <c r="BU4295" s="8"/>
      <c r="BZ4295" s="8"/>
      <c r="CD4295" s="8"/>
    </row>
    <row r="4296" spans="73:82" ht="15.75">
      <c r="BU4296" s="8"/>
      <c r="BZ4296" s="8"/>
      <c r="CD4296" s="8"/>
    </row>
    <row r="4297" spans="73:82" ht="15.75">
      <c r="BU4297" s="8"/>
      <c r="BZ4297" s="8"/>
      <c r="CD4297" s="8"/>
    </row>
    <row r="4298" spans="73:82" ht="15.75">
      <c r="BU4298" s="8"/>
      <c r="BZ4298" s="8"/>
      <c r="CD4298" s="8"/>
    </row>
    <row r="4299" spans="73:82" ht="15.75">
      <c r="BU4299" s="8"/>
      <c r="BZ4299" s="8"/>
      <c r="CD4299" s="8"/>
    </row>
    <row r="4300" spans="73:82" ht="15.75">
      <c r="BU4300" s="8"/>
      <c r="BZ4300" s="8"/>
      <c r="CD4300" s="8"/>
    </row>
    <row r="4301" spans="73:82" ht="15.75">
      <c r="BU4301" s="8"/>
      <c r="BZ4301" s="8"/>
      <c r="CD4301" s="8"/>
    </row>
    <row r="4302" spans="73:82" ht="15.75">
      <c r="BU4302" s="8"/>
      <c r="BZ4302" s="8"/>
      <c r="CD4302" s="8"/>
    </row>
    <row r="4303" spans="73:82" ht="15.75">
      <c r="BU4303" s="8"/>
      <c r="BZ4303" s="8"/>
      <c r="CD4303" s="8"/>
    </row>
    <row r="4304" spans="73:82" ht="15.75">
      <c r="BU4304" s="8"/>
      <c r="BZ4304" s="8"/>
      <c r="CD4304" s="8"/>
    </row>
    <row r="4305" spans="73:82" ht="15.75">
      <c r="BU4305" s="8"/>
      <c r="BZ4305" s="8"/>
      <c r="CD4305" s="8"/>
    </row>
    <row r="4306" spans="73:82" ht="15.75">
      <c r="BU4306" s="8"/>
      <c r="BZ4306" s="8"/>
      <c r="CD4306" s="8"/>
    </row>
    <row r="4307" spans="73:82" ht="15.75">
      <c r="BU4307" s="8"/>
      <c r="BZ4307" s="8"/>
      <c r="CD4307" s="8"/>
    </row>
    <row r="4308" spans="73:82" ht="15.75">
      <c r="BU4308" s="8"/>
      <c r="BZ4308" s="8"/>
      <c r="CD4308" s="8"/>
    </row>
    <row r="4309" spans="73:82" ht="15.75">
      <c r="BU4309" s="8"/>
      <c r="BZ4309" s="8"/>
      <c r="CD4309" s="8"/>
    </row>
    <row r="4310" spans="73:82" ht="15.75">
      <c r="BU4310" s="8"/>
      <c r="BZ4310" s="8"/>
      <c r="CD4310" s="8"/>
    </row>
    <row r="4311" spans="73:82" ht="15.75">
      <c r="BU4311" s="8"/>
      <c r="BZ4311" s="8"/>
      <c r="CD4311" s="8"/>
    </row>
    <row r="4312" spans="73:82" ht="15.75">
      <c r="BU4312" s="8"/>
      <c r="BZ4312" s="8"/>
      <c r="CD4312" s="8"/>
    </row>
    <row r="4313" spans="73:82" ht="15.75">
      <c r="BU4313" s="8"/>
      <c r="BZ4313" s="8"/>
      <c r="CD4313" s="8"/>
    </row>
    <row r="4314" spans="73:82" ht="15.75">
      <c r="BU4314" s="8"/>
      <c r="BZ4314" s="8"/>
      <c r="CD4314" s="8"/>
    </row>
    <row r="4315" spans="73:82" ht="15.75">
      <c r="BU4315" s="8"/>
      <c r="BZ4315" s="8"/>
      <c r="CD4315" s="8"/>
    </row>
    <row r="4316" spans="73:82" ht="15.75">
      <c r="BU4316" s="8"/>
      <c r="BZ4316" s="8"/>
      <c r="CD4316" s="8"/>
    </row>
    <row r="4317" spans="73:82" ht="15.75">
      <c r="BU4317" s="8"/>
      <c r="BZ4317" s="8"/>
      <c r="CD4317" s="8"/>
    </row>
    <row r="4318" spans="73:82" ht="15.75">
      <c r="BU4318" s="8"/>
      <c r="BZ4318" s="8"/>
      <c r="CD4318" s="8"/>
    </row>
    <row r="4319" spans="73:82" ht="15.75">
      <c r="BU4319" s="8"/>
      <c r="BZ4319" s="8"/>
      <c r="CD4319" s="8"/>
    </row>
    <row r="4320" spans="73:82" ht="15.75">
      <c r="BU4320" s="8"/>
      <c r="BZ4320" s="8"/>
      <c r="CD4320" s="8"/>
    </row>
    <row r="4321" spans="73:82" ht="15.75">
      <c r="BU4321" s="8"/>
      <c r="BZ4321" s="8"/>
      <c r="CD4321" s="8"/>
    </row>
    <row r="4322" spans="73:82" ht="15.75">
      <c r="BU4322" s="8"/>
      <c r="BZ4322" s="8"/>
      <c r="CD4322" s="8"/>
    </row>
    <row r="4323" spans="73:82" ht="15.75">
      <c r="BU4323" s="8"/>
      <c r="BZ4323" s="8"/>
      <c r="CD4323" s="8"/>
    </row>
    <row r="4324" spans="73:82" ht="15.75">
      <c r="BU4324" s="8"/>
      <c r="BZ4324" s="8"/>
      <c r="CD4324" s="8"/>
    </row>
    <row r="4325" spans="73:82" ht="15.75">
      <c r="BU4325" s="8"/>
      <c r="BZ4325" s="8"/>
      <c r="CD4325" s="8"/>
    </row>
    <row r="4326" spans="73:82" ht="15.75">
      <c r="BU4326" s="8"/>
      <c r="BZ4326" s="8"/>
      <c r="CD4326" s="8"/>
    </row>
    <row r="4327" spans="73:82" ht="15.75">
      <c r="BU4327" s="8"/>
      <c r="BZ4327" s="8"/>
      <c r="CD4327" s="8"/>
    </row>
    <row r="4328" spans="73:82" ht="15.75">
      <c r="BU4328" s="8"/>
      <c r="BZ4328" s="8"/>
      <c r="CD4328" s="8"/>
    </row>
    <row r="4329" spans="73:82" ht="15.75">
      <c r="BU4329" s="8"/>
      <c r="BZ4329" s="8"/>
      <c r="CD4329" s="8"/>
    </row>
    <row r="4330" spans="73:82" ht="15.75">
      <c r="BU4330" s="8"/>
      <c r="BZ4330" s="8"/>
      <c r="CD4330" s="8"/>
    </row>
    <row r="4331" spans="73:82" ht="15.75">
      <c r="BU4331" s="8"/>
      <c r="BZ4331" s="8"/>
      <c r="CD4331" s="8"/>
    </row>
    <row r="4332" spans="73:82" ht="15.75">
      <c r="BU4332" s="8"/>
      <c r="BZ4332" s="8"/>
      <c r="CD4332" s="8"/>
    </row>
    <row r="4333" spans="73:82" ht="15.75">
      <c r="BU4333" s="8"/>
      <c r="BZ4333" s="8"/>
      <c r="CD4333" s="8"/>
    </row>
    <row r="4334" spans="73:82" ht="15.75">
      <c r="BU4334" s="8"/>
      <c r="BZ4334" s="8"/>
      <c r="CD4334" s="8"/>
    </row>
    <row r="4335" spans="73:82" ht="15.75">
      <c r="BU4335" s="8"/>
      <c r="BZ4335" s="8"/>
      <c r="CD4335" s="8"/>
    </row>
    <row r="4336" spans="73:82" ht="15.75">
      <c r="BU4336" s="8"/>
      <c r="BZ4336" s="8"/>
      <c r="CD4336" s="8"/>
    </row>
    <row r="4337" spans="73:82" ht="15.75">
      <c r="BU4337" s="8"/>
      <c r="BZ4337" s="8"/>
      <c r="CD4337" s="8"/>
    </row>
    <row r="4338" spans="73:82" ht="15.75">
      <c r="BU4338" s="8"/>
      <c r="BZ4338" s="8"/>
      <c r="CD4338" s="8"/>
    </row>
    <row r="4339" spans="73:82" ht="15.75">
      <c r="BU4339" s="8"/>
      <c r="BZ4339" s="8"/>
      <c r="CD4339" s="8"/>
    </row>
    <row r="4340" spans="73:82" ht="15.75">
      <c r="BU4340" s="8"/>
      <c r="BZ4340" s="8"/>
      <c r="CD4340" s="8"/>
    </row>
    <row r="4341" spans="73:82" ht="15.75">
      <c r="BU4341" s="8"/>
      <c r="BZ4341" s="8"/>
      <c r="CD4341" s="8"/>
    </row>
    <row r="4342" spans="73:82" ht="15.75">
      <c r="BU4342" s="8"/>
      <c r="BZ4342" s="8"/>
      <c r="CD4342" s="8"/>
    </row>
    <row r="4343" spans="73:82" ht="15.75">
      <c r="BU4343" s="8"/>
      <c r="BZ4343" s="8"/>
      <c r="CD4343" s="8"/>
    </row>
    <row r="4344" spans="73:82" ht="15.75">
      <c r="BU4344" s="8"/>
      <c r="BZ4344" s="8"/>
      <c r="CD4344" s="8"/>
    </row>
    <row r="4345" spans="73:82" ht="15.75">
      <c r="BU4345" s="8"/>
      <c r="BZ4345" s="8"/>
      <c r="CD4345" s="8"/>
    </row>
    <row r="4346" spans="73:82" ht="15.75">
      <c r="BU4346" s="8"/>
      <c r="BZ4346" s="8"/>
      <c r="CD4346" s="8"/>
    </row>
    <row r="4347" spans="73:82" ht="15.75">
      <c r="BU4347" s="8"/>
      <c r="BZ4347" s="8"/>
      <c r="CD4347" s="8"/>
    </row>
    <row r="4348" spans="73:82" ht="15.75">
      <c r="BU4348" s="8"/>
      <c r="BZ4348" s="8"/>
      <c r="CD4348" s="8"/>
    </row>
    <row r="4349" spans="73:82" ht="15.75">
      <c r="BU4349" s="8"/>
      <c r="BZ4349" s="8"/>
      <c r="CD4349" s="8"/>
    </row>
    <row r="4350" spans="73:82" ht="15.75">
      <c r="BU4350" s="8"/>
      <c r="BZ4350" s="8"/>
      <c r="CD4350" s="8"/>
    </row>
    <row r="4351" spans="73:82" ht="15.75">
      <c r="BU4351" s="8"/>
      <c r="BZ4351" s="8"/>
      <c r="CD4351" s="8"/>
    </row>
    <row r="4352" spans="73:82" ht="15.75">
      <c r="BU4352" s="8"/>
      <c r="BZ4352" s="8"/>
      <c r="CD4352" s="8"/>
    </row>
    <row r="4353" spans="73:82" ht="15.75">
      <c r="BU4353" s="8"/>
      <c r="BZ4353" s="8"/>
      <c r="CD4353" s="8"/>
    </row>
    <row r="4354" spans="73:82" ht="15.75">
      <c r="BU4354" s="8"/>
      <c r="BZ4354" s="8"/>
      <c r="CD4354" s="8"/>
    </row>
    <row r="4355" spans="73:82" ht="15.75">
      <c r="BU4355" s="8"/>
      <c r="BZ4355" s="8"/>
      <c r="CD4355" s="8"/>
    </row>
    <row r="4356" spans="73:82" ht="15.75">
      <c r="BU4356" s="8"/>
      <c r="BZ4356" s="8"/>
      <c r="CD4356" s="8"/>
    </row>
    <row r="4357" spans="73:82" ht="15.75">
      <c r="BU4357" s="8"/>
      <c r="BZ4357" s="8"/>
      <c r="CD4357" s="8"/>
    </row>
    <row r="4358" spans="73:82" ht="15.75">
      <c r="BU4358" s="8"/>
      <c r="BZ4358" s="8"/>
      <c r="CD4358" s="8"/>
    </row>
    <row r="4359" spans="73:82" ht="15.75">
      <c r="BU4359" s="8"/>
      <c r="BZ4359" s="8"/>
      <c r="CD4359" s="8"/>
    </row>
    <row r="4360" spans="73:82" ht="15.75">
      <c r="BU4360" s="8"/>
      <c r="BZ4360" s="8"/>
      <c r="CD4360" s="8"/>
    </row>
    <row r="4361" spans="73:82" ht="15.75">
      <c r="BU4361" s="8"/>
      <c r="BZ4361" s="8"/>
      <c r="CD4361" s="8"/>
    </row>
    <row r="4362" spans="73:82" ht="15.75">
      <c r="BU4362" s="8"/>
      <c r="BZ4362" s="8"/>
      <c r="CD4362" s="8"/>
    </row>
    <row r="4363" spans="73:82" ht="15.75">
      <c r="BU4363" s="8"/>
      <c r="BZ4363" s="8"/>
      <c r="CD4363" s="8"/>
    </row>
    <row r="4364" spans="73:82" ht="15.75">
      <c r="BU4364" s="8"/>
      <c r="BZ4364" s="8"/>
      <c r="CD4364" s="8"/>
    </row>
    <row r="4365" spans="73:82" ht="15.75">
      <c r="BU4365" s="8"/>
      <c r="BZ4365" s="8"/>
      <c r="CD4365" s="8"/>
    </row>
    <row r="4366" spans="73:82" ht="15.75">
      <c r="BU4366" s="8"/>
      <c r="BZ4366" s="8"/>
      <c r="CD4366" s="8"/>
    </row>
    <row r="4367" spans="73:82" ht="15.75">
      <c r="BU4367" s="8"/>
      <c r="BZ4367" s="8"/>
      <c r="CD4367" s="8"/>
    </row>
    <row r="4368" spans="73:82" ht="15.75">
      <c r="BU4368" s="8"/>
      <c r="BZ4368" s="8"/>
      <c r="CD4368" s="8"/>
    </row>
    <row r="4369" spans="73:82" ht="15.75">
      <c r="BU4369" s="8"/>
      <c r="BZ4369" s="8"/>
      <c r="CD4369" s="8"/>
    </row>
    <row r="4370" spans="73:82" ht="15.75">
      <c r="BU4370" s="8"/>
      <c r="BZ4370" s="8"/>
      <c r="CD4370" s="8"/>
    </row>
    <row r="4371" spans="73:82" ht="15.75">
      <c r="BU4371" s="8"/>
      <c r="BZ4371" s="8"/>
      <c r="CD4371" s="8"/>
    </row>
    <row r="4372" spans="73:82" ht="15.75">
      <c r="BU4372" s="8"/>
      <c r="BZ4372" s="8"/>
      <c r="CD4372" s="8"/>
    </row>
    <row r="4373" spans="73:82" ht="15.75">
      <c r="BU4373" s="8"/>
      <c r="BZ4373" s="8"/>
      <c r="CD4373" s="8"/>
    </row>
    <row r="4374" spans="73:82" ht="15.75">
      <c r="BU4374" s="8"/>
      <c r="BZ4374" s="8"/>
      <c r="CD4374" s="8"/>
    </row>
    <row r="4375" spans="73:82" ht="15.75">
      <c r="BU4375" s="8"/>
      <c r="BZ4375" s="8"/>
      <c r="CD4375" s="8"/>
    </row>
    <row r="4376" spans="73:82" ht="15.75">
      <c r="BU4376" s="8"/>
      <c r="BZ4376" s="8"/>
      <c r="CD4376" s="8"/>
    </row>
    <row r="4377" spans="73:82" ht="15.75">
      <c r="BU4377" s="8"/>
      <c r="BZ4377" s="8"/>
      <c r="CD4377" s="8"/>
    </row>
    <row r="4378" spans="73:82" ht="15.75">
      <c r="BU4378" s="8"/>
      <c r="BZ4378" s="8"/>
      <c r="CD4378" s="8"/>
    </row>
    <row r="4379" spans="73:82" ht="15.75">
      <c r="BU4379" s="8"/>
      <c r="BZ4379" s="8"/>
      <c r="CD4379" s="8"/>
    </row>
    <row r="4380" spans="73:82" ht="15.75">
      <c r="BU4380" s="8"/>
      <c r="BZ4380" s="8"/>
      <c r="CD4380" s="8"/>
    </row>
    <row r="4381" spans="73:82" ht="15.75">
      <c r="BU4381" s="8"/>
      <c r="BZ4381" s="8"/>
      <c r="CD4381" s="8"/>
    </row>
    <row r="4382" spans="73:82" ht="15.75">
      <c r="BU4382" s="8"/>
      <c r="BZ4382" s="8"/>
      <c r="CD4382" s="8"/>
    </row>
    <row r="4383" spans="73:82" ht="15.75">
      <c r="BU4383" s="8"/>
      <c r="BZ4383" s="8"/>
      <c r="CD4383" s="8"/>
    </row>
    <row r="4384" spans="73:82" ht="15.75">
      <c r="BU4384" s="8"/>
      <c r="BZ4384" s="8"/>
      <c r="CD4384" s="8"/>
    </row>
    <row r="4385" spans="73:82" ht="15.75">
      <c r="BU4385" s="8"/>
      <c r="BZ4385" s="8"/>
      <c r="CD4385" s="8"/>
    </row>
    <row r="4386" spans="73:82" ht="15.75">
      <c r="BU4386" s="8"/>
      <c r="BZ4386" s="8"/>
      <c r="CD4386" s="8"/>
    </row>
    <row r="4387" spans="73:82" ht="15.75">
      <c r="BU4387" s="8"/>
      <c r="BZ4387" s="8"/>
      <c r="CD4387" s="8"/>
    </row>
    <row r="4388" spans="73:82" ht="15.75">
      <c r="BU4388" s="8"/>
      <c r="BZ4388" s="8"/>
      <c r="CD4388" s="8"/>
    </row>
    <row r="4389" spans="73:82" ht="15.75">
      <c r="BU4389" s="8"/>
      <c r="BZ4389" s="8"/>
      <c r="CD4389" s="8"/>
    </row>
    <row r="4390" spans="73:82" ht="15.75">
      <c r="BU4390" s="8"/>
      <c r="BZ4390" s="8"/>
      <c r="CD4390" s="8"/>
    </row>
    <row r="4391" spans="73:82" ht="15.75">
      <c r="BU4391" s="8"/>
      <c r="BZ4391" s="8"/>
      <c r="CD4391" s="8"/>
    </row>
    <row r="4392" spans="73:82" ht="15.75">
      <c r="BU4392" s="8"/>
      <c r="BZ4392" s="8"/>
      <c r="CD4392" s="8"/>
    </row>
    <row r="4393" spans="73:82" ht="15.75">
      <c r="BU4393" s="8"/>
      <c r="BZ4393" s="8"/>
      <c r="CD4393" s="8"/>
    </row>
    <row r="4394" spans="73:82" ht="15.75">
      <c r="BU4394" s="8"/>
      <c r="BZ4394" s="8"/>
      <c r="CD4394" s="8"/>
    </row>
    <row r="4395" spans="73:82" ht="15.75">
      <c r="BU4395" s="8"/>
      <c r="BZ4395" s="8"/>
      <c r="CD4395" s="8"/>
    </row>
    <row r="4396" spans="73:82" ht="15.75">
      <c r="BU4396" s="8"/>
      <c r="BZ4396" s="8"/>
      <c r="CD4396" s="8"/>
    </row>
    <row r="4397" spans="73:82" ht="15.75">
      <c r="BU4397" s="8"/>
      <c r="BZ4397" s="8"/>
      <c r="CD4397" s="8"/>
    </row>
    <row r="4398" spans="73:82" ht="15.75">
      <c r="BU4398" s="8"/>
      <c r="BZ4398" s="8"/>
      <c r="CD4398" s="8"/>
    </row>
    <row r="4399" spans="73:82" ht="15.75">
      <c r="BU4399" s="8"/>
      <c r="BZ4399" s="8"/>
      <c r="CD4399" s="8"/>
    </row>
    <row r="4400" spans="73:82" ht="15.75">
      <c r="BU4400" s="8"/>
      <c r="BZ4400" s="8"/>
      <c r="CD4400" s="8"/>
    </row>
    <row r="4401" spans="73:82" ht="15.75">
      <c r="BU4401" s="8"/>
      <c r="BZ4401" s="8"/>
      <c r="CD4401" s="8"/>
    </row>
    <row r="4402" spans="73:82" ht="15.75">
      <c r="BU4402" s="8"/>
      <c r="BZ4402" s="8"/>
      <c r="CD4402" s="8"/>
    </row>
    <row r="4403" spans="73:82" ht="15.75">
      <c r="BU4403" s="8"/>
      <c r="BZ4403" s="8"/>
      <c r="CD4403" s="8"/>
    </row>
    <row r="4404" spans="73:82" ht="15.75">
      <c r="BU4404" s="8"/>
      <c r="BZ4404" s="8"/>
      <c r="CD4404" s="8"/>
    </row>
    <row r="4405" spans="73:82" ht="15.75">
      <c r="BU4405" s="8"/>
      <c r="BZ4405" s="8"/>
      <c r="CD4405" s="8"/>
    </row>
    <row r="4406" spans="73:82" ht="15.75">
      <c r="BU4406" s="8"/>
      <c r="BZ4406" s="8"/>
      <c r="CD4406" s="8"/>
    </row>
    <row r="4407" spans="73:82" ht="15.75">
      <c r="BU4407" s="8"/>
      <c r="BZ4407" s="8"/>
      <c r="CD4407" s="8"/>
    </row>
    <row r="4408" spans="73:82" ht="15.75">
      <c r="BU4408" s="8"/>
      <c r="BZ4408" s="8"/>
      <c r="CD4408" s="8"/>
    </row>
    <row r="4409" spans="73:82" ht="15.75">
      <c r="BU4409" s="8"/>
      <c r="BZ4409" s="8"/>
      <c r="CD4409" s="8"/>
    </row>
    <row r="4410" spans="73:82" ht="15.75">
      <c r="BU4410" s="8"/>
      <c r="BZ4410" s="8"/>
      <c r="CD4410" s="8"/>
    </row>
    <row r="4411" spans="73:82" ht="15.75">
      <c r="BU4411" s="8"/>
      <c r="BZ4411" s="8"/>
      <c r="CD4411" s="8"/>
    </row>
    <row r="4412" spans="73:82" ht="15.75">
      <c r="BU4412" s="8"/>
      <c r="BZ4412" s="8"/>
      <c r="CD4412" s="8"/>
    </row>
    <row r="4413" spans="73:82" ht="15.75">
      <c r="BU4413" s="8"/>
      <c r="BZ4413" s="8"/>
      <c r="CD4413" s="8"/>
    </row>
    <row r="4414" spans="73:82" ht="15.75">
      <c r="BU4414" s="8"/>
      <c r="BZ4414" s="8"/>
      <c r="CD4414" s="8"/>
    </row>
    <row r="4415" spans="73:82" ht="15.75">
      <c r="BU4415" s="8"/>
      <c r="BZ4415" s="8"/>
      <c r="CD4415" s="8"/>
    </row>
    <row r="4416" spans="73:82" ht="15.75">
      <c r="BU4416" s="8"/>
      <c r="BZ4416" s="8"/>
      <c r="CD4416" s="8"/>
    </row>
    <row r="4417" spans="73:82" ht="15.75">
      <c r="BU4417" s="8"/>
      <c r="BZ4417" s="8"/>
      <c r="CD4417" s="8"/>
    </row>
    <row r="4418" spans="73:82" ht="15.75">
      <c r="BU4418" s="8"/>
      <c r="BZ4418" s="8"/>
      <c r="CD4418" s="8"/>
    </row>
    <row r="4419" spans="73:82" ht="15.75">
      <c r="BU4419" s="8"/>
      <c r="BZ4419" s="8"/>
      <c r="CD4419" s="8"/>
    </row>
    <row r="4420" spans="73:82" ht="15.75">
      <c r="BU4420" s="8"/>
      <c r="BZ4420" s="8"/>
      <c r="CD4420" s="8"/>
    </row>
    <row r="4421" spans="73:82" ht="15.75">
      <c r="BU4421" s="8"/>
      <c r="BZ4421" s="8"/>
      <c r="CD4421" s="8"/>
    </row>
    <row r="4422" spans="73:82" ht="15.75">
      <c r="BU4422" s="8"/>
      <c r="BZ4422" s="8"/>
      <c r="CD4422" s="8"/>
    </row>
    <row r="4423" spans="73:82" ht="15.75">
      <c r="BU4423" s="8"/>
      <c r="BZ4423" s="8"/>
      <c r="CD4423" s="8"/>
    </row>
    <row r="4424" spans="73:82" ht="15.75">
      <c r="BU4424" s="8"/>
      <c r="BZ4424" s="8"/>
      <c r="CD4424" s="8"/>
    </row>
    <row r="4425" spans="73:82" ht="15.75">
      <c r="BU4425" s="8"/>
      <c r="BZ4425" s="8"/>
      <c r="CD4425" s="8"/>
    </row>
    <row r="4426" spans="73:82" ht="15.75">
      <c r="BU4426" s="8"/>
      <c r="BZ4426" s="8"/>
      <c r="CD4426" s="8"/>
    </row>
    <row r="4427" spans="73:82" ht="15.75">
      <c r="BU4427" s="8"/>
      <c r="BZ4427" s="8"/>
      <c r="CD4427" s="8"/>
    </row>
    <row r="4428" spans="73:82" ht="15.75">
      <c r="BU4428" s="8"/>
      <c r="BZ4428" s="8"/>
      <c r="CD4428" s="8"/>
    </row>
    <row r="4429" spans="73:82" ht="15.75">
      <c r="BU4429" s="8"/>
      <c r="BZ4429" s="8"/>
      <c r="CD4429" s="8"/>
    </row>
    <row r="4430" spans="73:82" ht="15.75">
      <c r="BU4430" s="8"/>
      <c r="BZ4430" s="8"/>
      <c r="CD4430" s="8"/>
    </row>
    <row r="4431" spans="73:82" ht="15.75">
      <c r="BU4431" s="8"/>
      <c r="BZ4431" s="8"/>
      <c r="CD4431" s="8"/>
    </row>
    <row r="4432" spans="73:82" ht="15.75">
      <c r="BU4432" s="8"/>
      <c r="BZ4432" s="8"/>
      <c r="CD4432" s="8"/>
    </row>
    <row r="4433" spans="73:82" ht="15.75">
      <c r="BU4433" s="8"/>
      <c r="BZ4433" s="8"/>
      <c r="CD4433" s="8"/>
    </row>
    <row r="4434" spans="73:82" ht="15.75">
      <c r="BU4434" s="8"/>
      <c r="BZ4434" s="8"/>
      <c r="CD4434" s="8"/>
    </row>
    <row r="4435" spans="73:82" ht="15.75">
      <c r="BU4435" s="8"/>
      <c r="BZ4435" s="8"/>
      <c r="CD4435" s="8"/>
    </row>
    <row r="4436" spans="73:82" ht="15.75">
      <c r="BU4436" s="8"/>
      <c r="BZ4436" s="8"/>
      <c r="CD4436" s="8"/>
    </row>
    <row r="4437" spans="73:82" ht="15.75">
      <c r="BU4437" s="8"/>
      <c r="BZ4437" s="8"/>
      <c r="CD4437" s="8"/>
    </row>
    <row r="4438" spans="73:82" ht="15.75">
      <c r="BU4438" s="8"/>
      <c r="BZ4438" s="8"/>
      <c r="CD4438" s="8"/>
    </row>
    <row r="4439" spans="73:82" ht="15.75">
      <c r="BU4439" s="8"/>
      <c r="BZ4439" s="8"/>
      <c r="CD4439" s="8"/>
    </row>
    <row r="4440" spans="73:82" ht="15.75">
      <c r="BU4440" s="8"/>
      <c r="BZ4440" s="8"/>
      <c r="CD4440" s="8"/>
    </row>
    <row r="4441" spans="73:82" ht="15.75">
      <c r="BU4441" s="8"/>
      <c r="BZ4441" s="8"/>
      <c r="CD4441" s="8"/>
    </row>
    <row r="4442" spans="73:82" ht="15.75">
      <c r="BU4442" s="8"/>
      <c r="BZ4442" s="8"/>
      <c r="CD4442" s="8"/>
    </row>
    <row r="4443" spans="73:82" ht="15.75">
      <c r="BU4443" s="8"/>
      <c r="BZ4443" s="8"/>
      <c r="CD4443" s="8"/>
    </row>
    <row r="4444" spans="73:82" ht="15.75">
      <c r="BU4444" s="8"/>
      <c r="BZ4444" s="8"/>
      <c r="CD4444" s="8"/>
    </row>
    <row r="4445" spans="73:82" ht="15.75">
      <c r="BU4445" s="8"/>
      <c r="BZ4445" s="8"/>
      <c r="CD4445" s="8"/>
    </row>
    <row r="4446" spans="73:82" ht="15.75">
      <c r="BU4446" s="8"/>
      <c r="BZ4446" s="8"/>
      <c r="CD4446" s="8"/>
    </row>
    <row r="4447" spans="73:82" ht="15.75">
      <c r="BU4447" s="8"/>
      <c r="BZ4447" s="8"/>
      <c r="CD4447" s="8"/>
    </row>
    <row r="4448" spans="73:82" ht="15.75">
      <c r="BU4448" s="8"/>
      <c r="BZ4448" s="8"/>
      <c r="CD4448" s="8"/>
    </row>
    <row r="4449" spans="73:82" ht="15.75">
      <c r="BU4449" s="8"/>
      <c r="BZ4449" s="8"/>
      <c r="CD4449" s="8"/>
    </row>
    <row r="4450" spans="73:82" ht="15.75">
      <c r="BU4450" s="8"/>
      <c r="BZ4450" s="8"/>
      <c r="CD4450" s="8"/>
    </row>
    <row r="4451" spans="73:82" ht="15.75">
      <c r="BU4451" s="8"/>
      <c r="BZ4451" s="8"/>
      <c r="CD4451" s="8"/>
    </row>
    <row r="4452" spans="73:82" ht="15.75">
      <c r="BU4452" s="8"/>
      <c r="BZ4452" s="8"/>
      <c r="CD4452" s="8"/>
    </row>
    <row r="4453" spans="73:82" ht="15.75">
      <c r="BU4453" s="8"/>
      <c r="BZ4453" s="8"/>
      <c r="CD4453" s="8"/>
    </row>
    <row r="4454" spans="73:82" ht="15.75">
      <c r="BU4454" s="8"/>
      <c r="BZ4454" s="8"/>
      <c r="CD4454" s="8"/>
    </row>
    <row r="4455" spans="73:82" ht="15.75">
      <c r="BU4455" s="8"/>
      <c r="BZ4455" s="8"/>
      <c r="CD4455" s="8"/>
    </row>
    <row r="4456" spans="73:82" ht="15.75">
      <c r="BU4456" s="8"/>
      <c r="BZ4456" s="8"/>
      <c r="CD4456" s="8"/>
    </row>
    <row r="4457" spans="73:82" ht="15.75">
      <c r="BU4457" s="8"/>
      <c r="BZ4457" s="8"/>
      <c r="CD4457" s="8"/>
    </row>
    <row r="4458" spans="73:82" ht="15.75">
      <c r="BU4458" s="8"/>
      <c r="BZ4458" s="8"/>
      <c r="CD4458" s="8"/>
    </row>
    <row r="4459" spans="73:82" ht="15.75">
      <c r="BU4459" s="8"/>
      <c r="BZ4459" s="8"/>
      <c r="CD4459" s="8"/>
    </row>
    <row r="4460" spans="73:82" ht="15.75">
      <c r="BU4460" s="8"/>
      <c r="BZ4460" s="8"/>
      <c r="CD4460" s="8"/>
    </row>
    <row r="4461" spans="73:82" ht="15.75">
      <c r="BU4461" s="8"/>
      <c r="BZ4461" s="8"/>
      <c r="CD4461" s="8"/>
    </row>
    <row r="4462" spans="73:82" ht="15.75">
      <c r="BU4462" s="8"/>
      <c r="BZ4462" s="8"/>
      <c r="CD4462" s="8"/>
    </row>
    <row r="4463" spans="73:82" ht="15.75">
      <c r="BU4463" s="8"/>
      <c r="BZ4463" s="8"/>
      <c r="CD4463" s="8"/>
    </row>
    <row r="4464" spans="73:82" ht="15.75">
      <c r="BU4464" s="8"/>
      <c r="BZ4464" s="8"/>
      <c r="CD4464" s="8"/>
    </row>
    <row r="4465" spans="73:82" ht="15.75">
      <c r="BU4465" s="8"/>
      <c r="BZ4465" s="8"/>
      <c r="CD4465" s="8"/>
    </row>
    <row r="4466" spans="73:82" ht="15.75">
      <c r="BU4466" s="8"/>
      <c r="BZ4466" s="8"/>
      <c r="CD4466" s="8"/>
    </row>
    <row r="4467" spans="73:82" ht="15.75">
      <c r="BU4467" s="8"/>
      <c r="BZ4467" s="8"/>
      <c r="CD4467" s="8"/>
    </row>
    <row r="4468" spans="73:82" ht="15.75">
      <c r="BU4468" s="8"/>
      <c r="BZ4468" s="8"/>
      <c r="CD4468" s="8"/>
    </row>
    <row r="4469" spans="73:82" ht="15.75">
      <c r="BU4469" s="8"/>
      <c r="BZ4469" s="8"/>
      <c r="CD4469" s="8"/>
    </row>
    <row r="4470" spans="73:82" ht="15.75">
      <c r="BU4470" s="8"/>
      <c r="BZ4470" s="8"/>
      <c r="CD4470" s="8"/>
    </row>
    <row r="4471" spans="73:82" ht="15.75">
      <c r="BU4471" s="8"/>
      <c r="BZ4471" s="8"/>
      <c r="CD4471" s="8"/>
    </row>
    <row r="4472" spans="73:82" ht="15.75">
      <c r="BU4472" s="8"/>
      <c r="BZ4472" s="8"/>
      <c r="CD4472" s="8"/>
    </row>
    <row r="4473" spans="73:82" ht="15.75">
      <c r="BU4473" s="8"/>
      <c r="BZ4473" s="8"/>
      <c r="CD4473" s="8"/>
    </row>
    <row r="4474" spans="73:82" ht="15.75">
      <c r="BU4474" s="8"/>
      <c r="BZ4474" s="8"/>
      <c r="CD4474" s="8"/>
    </row>
    <row r="4475" spans="73:82" ht="15.75">
      <c r="BU4475" s="8"/>
      <c r="BZ4475" s="8"/>
      <c r="CD4475" s="8"/>
    </row>
    <row r="4476" spans="73:82" ht="15.75">
      <c r="BU4476" s="8"/>
      <c r="BZ4476" s="8"/>
      <c r="CD4476" s="8"/>
    </row>
    <row r="4477" spans="73:82" ht="15.75">
      <c r="BU4477" s="8"/>
      <c r="BZ4477" s="8"/>
      <c r="CD4477" s="8"/>
    </row>
    <row r="4478" spans="73:82" ht="15.75">
      <c r="BU4478" s="8"/>
      <c r="BZ4478" s="8"/>
      <c r="CD4478" s="8"/>
    </row>
    <row r="4479" spans="73:82" ht="15.75">
      <c r="BU4479" s="8"/>
      <c r="BZ4479" s="8"/>
      <c r="CD4479" s="8"/>
    </row>
    <row r="4480" spans="73:82" ht="15.75">
      <c r="BU4480" s="8"/>
      <c r="BZ4480" s="8"/>
      <c r="CD4480" s="8"/>
    </row>
    <row r="4481" spans="73:82" ht="15.75">
      <c r="BU4481" s="8"/>
      <c r="BZ4481" s="8"/>
      <c r="CD4481" s="8"/>
    </row>
    <row r="4482" spans="73:82" ht="15.75">
      <c r="BU4482" s="8"/>
      <c r="BZ4482" s="8"/>
      <c r="CD4482" s="8"/>
    </row>
    <row r="4483" spans="73:82" ht="15.75">
      <c r="BU4483" s="8"/>
      <c r="BZ4483" s="8"/>
      <c r="CD4483" s="8"/>
    </row>
    <row r="4484" spans="73:82" ht="15.75">
      <c r="BU4484" s="8"/>
      <c r="BZ4484" s="8"/>
      <c r="CD4484" s="8"/>
    </row>
    <row r="4485" spans="73:82" ht="15.75">
      <c r="BU4485" s="8"/>
      <c r="BZ4485" s="8"/>
      <c r="CD4485" s="8"/>
    </row>
    <row r="4486" spans="73:82" ht="15.75">
      <c r="BU4486" s="8"/>
      <c r="BZ4486" s="8"/>
      <c r="CD4486" s="8"/>
    </row>
    <row r="4487" spans="73:82" ht="15.75">
      <c r="BU4487" s="8"/>
      <c r="BZ4487" s="8"/>
      <c r="CD4487" s="8"/>
    </row>
    <row r="4488" spans="73:82" ht="15.75">
      <c r="BU4488" s="8"/>
      <c r="BZ4488" s="8"/>
      <c r="CD4488" s="8"/>
    </row>
    <row r="4489" spans="73:82" ht="15.75">
      <c r="BU4489" s="8"/>
      <c r="BZ4489" s="8"/>
      <c r="CD4489" s="8"/>
    </row>
    <row r="4490" spans="73:82" ht="15.75">
      <c r="BU4490" s="8"/>
      <c r="BZ4490" s="8"/>
      <c r="CD4490" s="8"/>
    </row>
    <row r="4491" spans="73:82" ht="15.75">
      <c r="BU4491" s="8"/>
      <c r="BZ4491" s="8"/>
      <c r="CD4491" s="8"/>
    </row>
    <row r="4492" spans="73:82" ht="15.75">
      <c r="BU4492" s="8"/>
      <c r="BZ4492" s="8"/>
      <c r="CD4492" s="8"/>
    </row>
    <row r="4493" spans="73:82" ht="15.75">
      <c r="BU4493" s="8"/>
      <c r="BZ4493" s="8"/>
      <c r="CD4493" s="8"/>
    </row>
    <row r="4494" spans="73:82" ht="15.75">
      <c r="BU4494" s="8"/>
      <c r="BZ4494" s="8"/>
      <c r="CD4494" s="8"/>
    </row>
    <row r="4495" spans="73:82" ht="15.75">
      <c r="BU4495" s="8"/>
      <c r="BZ4495" s="8"/>
      <c r="CD4495" s="8"/>
    </row>
    <row r="4496" spans="73:82" ht="15.75">
      <c r="BU4496" s="8"/>
      <c r="BZ4496" s="8"/>
      <c r="CD4496" s="8"/>
    </row>
    <row r="4497" spans="73:82" ht="15.75">
      <c r="BU4497" s="8"/>
      <c r="BZ4497" s="8"/>
      <c r="CD4497" s="8"/>
    </row>
    <row r="4498" spans="73:82" ht="15.75">
      <c r="BU4498" s="8"/>
      <c r="BZ4498" s="8"/>
      <c r="CD4498" s="8"/>
    </row>
    <row r="4499" spans="73:82" ht="15.75">
      <c r="BU4499" s="8"/>
      <c r="BZ4499" s="8"/>
      <c r="CD4499" s="8"/>
    </row>
    <row r="4500" spans="73:82" ht="15.75">
      <c r="BU4500" s="8"/>
      <c r="BZ4500" s="8"/>
      <c r="CD4500" s="8"/>
    </row>
    <row r="4501" spans="73:82" ht="15.75">
      <c r="BU4501" s="8"/>
      <c r="BZ4501" s="8"/>
      <c r="CD4501" s="8"/>
    </row>
    <row r="4502" spans="73:82" ht="15.75">
      <c r="BU4502" s="8"/>
      <c r="BZ4502" s="8"/>
      <c r="CD4502" s="8"/>
    </row>
    <row r="4503" spans="73:82" ht="15.75">
      <c r="BU4503" s="8"/>
      <c r="BZ4503" s="8"/>
      <c r="CD4503" s="8"/>
    </row>
    <row r="4504" spans="73:82" ht="15.75">
      <c r="BU4504" s="8"/>
      <c r="BZ4504" s="8"/>
      <c r="CD4504" s="8"/>
    </row>
    <row r="4505" spans="73:82" ht="15.75">
      <c r="BU4505" s="8"/>
      <c r="BZ4505" s="8"/>
      <c r="CD4505" s="8"/>
    </row>
    <row r="4506" spans="73:82" ht="15.75">
      <c r="BU4506" s="8"/>
      <c r="BZ4506" s="8"/>
      <c r="CD4506" s="8"/>
    </row>
    <row r="4507" spans="73:82" ht="15.75">
      <c r="BU4507" s="8"/>
      <c r="BZ4507" s="8"/>
      <c r="CD4507" s="8"/>
    </row>
    <row r="4508" spans="73:82" ht="15.75">
      <c r="BU4508" s="8"/>
      <c r="BZ4508" s="8"/>
      <c r="CD4508" s="8"/>
    </row>
    <row r="4509" spans="73:82" ht="15.75">
      <c r="BU4509" s="8"/>
      <c r="BZ4509" s="8"/>
      <c r="CD4509" s="8"/>
    </row>
    <row r="4510" spans="73:82" ht="15.75">
      <c r="BU4510" s="8"/>
      <c r="BZ4510" s="8"/>
      <c r="CD4510" s="8"/>
    </row>
    <row r="4511" spans="73:82" ht="15.75">
      <c r="BU4511" s="8"/>
      <c r="BZ4511" s="8"/>
      <c r="CD4511" s="8"/>
    </row>
    <row r="4512" spans="73:82" ht="15.75">
      <c r="BU4512" s="8"/>
      <c r="BZ4512" s="8"/>
      <c r="CD4512" s="8"/>
    </row>
    <row r="4513" spans="73:82" ht="15.75">
      <c r="BU4513" s="8"/>
      <c r="BZ4513" s="8"/>
      <c r="CD4513" s="8"/>
    </row>
    <row r="4514" spans="73:82" ht="15.75">
      <c r="BU4514" s="8"/>
      <c r="BZ4514" s="8"/>
      <c r="CD4514" s="8"/>
    </row>
    <row r="4515" spans="73:82" ht="15.75">
      <c r="BU4515" s="8"/>
      <c r="BZ4515" s="8"/>
      <c r="CD4515" s="8"/>
    </row>
    <row r="4516" spans="73:82" ht="15.75">
      <c r="BU4516" s="8"/>
      <c r="BZ4516" s="8"/>
      <c r="CD4516" s="8"/>
    </row>
    <row r="4517" spans="73:82" ht="15.75">
      <c r="BU4517" s="8"/>
      <c r="BZ4517" s="8"/>
      <c r="CD4517" s="8"/>
    </row>
    <row r="4518" spans="73:82" ht="15.75">
      <c r="BU4518" s="8"/>
      <c r="BZ4518" s="8"/>
      <c r="CD4518" s="8"/>
    </row>
    <row r="4519" spans="73:82" ht="15.75">
      <c r="BU4519" s="8"/>
      <c r="BZ4519" s="8"/>
      <c r="CD4519" s="8"/>
    </row>
    <row r="4520" spans="73:82" ht="15.75">
      <c r="BU4520" s="8"/>
      <c r="BZ4520" s="8"/>
      <c r="CD4520" s="8"/>
    </row>
    <row r="4521" spans="73:82" ht="15.75">
      <c r="BU4521" s="8"/>
      <c r="BZ4521" s="8"/>
      <c r="CD4521" s="8"/>
    </row>
    <row r="4522" spans="73:82" ht="15.75">
      <c r="BU4522" s="8"/>
      <c r="BZ4522" s="8"/>
      <c r="CD4522" s="8"/>
    </row>
    <row r="4523" spans="73:82" ht="15.75">
      <c r="BU4523" s="8"/>
      <c r="BZ4523" s="8"/>
      <c r="CD4523" s="8"/>
    </row>
    <row r="4524" spans="73:82" ht="15.75">
      <c r="BU4524" s="8"/>
      <c r="BZ4524" s="8"/>
      <c r="CD4524" s="8"/>
    </row>
    <row r="4525" spans="73:82" ht="15.75">
      <c r="BU4525" s="8"/>
      <c r="BZ4525" s="8"/>
      <c r="CD4525" s="8"/>
    </row>
    <row r="4526" spans="73:82" ht="15.75">
      <c r="BU4526" s="8"/>
      <c r="BZ4526" s="8"/>
      <c r="CD4526" s="8"/>
    </row>
    <row r="4527" spans="73:82" ht="15.75">
      <c r="BU4527" s="8"/>
      <c r="BZ4527" s="8"/>
      <c r="CD4527" s="8"/>
    </row>
    <row r="4528" spans="73:82" ht="15.75">
      <c r="BU4528" s="8"/>
      <c r="BZ4528" s="8"/>
      <c r="CD4528" s="8"/>
    </row>
    <row r="4529" spans="73:82" ht="15.75">
      <c r="BU4529" s="8"/>
      <c r="BZ4529" s="8"/>
      <c r="CD4529" s="8"/>
    </row>
    <row r="4530" spans="73:82" ht="15.75">
      <c r="BU4530" s="8"/>
      <c r="BZ4530" s="8"/>
      <c r="CD4530" s="8"/>
    </row>
    <row r="4531" spans="73:82" ht="15.75">
      <c r="BU4531" s="8"/>
      <c r="BZ4531" s="8"/>
      <c r="CD4531" s="8"/>
    </row>
    <row r="4532" spans="73:82" ht="15.75">
      <c r="BU4532" s="8"/>
      <c r="BZ4532" s="8"/>
      <c r="CD4532" s="8"/>
    </row>
    <row r="4533" spans="73:82" ht="15.75">
      <c r="BU4533" s="8"/>
      <c r="BZ4533" s="8"/>
      <c r="CD4533" s="8"/>
    </row>
    <row r="4534" spans="73:82" ht="15.75">
      <c r="BU4534" s="8"/>
      <c r="BZ4534" s="8"/>
      <c r="CD4534" s="8"/>
    </row>
    <row r="4535" spans="73:82" ht="15.75">
      <c r="BU4535" s="8"/>
      <c r="BZ4535" s="8"/>
      <c r="CD4535" s="8"/>
    </row>
    <row r="4536" spans="73:82" ht="15.75">
      <c r="BU4536" s="8"/>
      <c r="BZ4536" s="8"/>
      <c r="CD4536" s="8"/>
    </row>
    <row r="4537" spans="73:82" ht="15.75">
      <c r="BU4537" s="8"/>
      <c r="BZ4537" s="8"/>
      <c r="CD4537" s="8"/>
    </row>
    <row r="4538" spans="73:82" ht="15.75">
      <c r="BU4538" s="8"/>
      <c r="BZ4538" s="8"/>
      <c r="CD4538" s="8"/>
    </row>
    <row r="4539" spans="73:82" ht="15.75">
      <c r="BU4539" s="8"/>
      <c r="BZ4539" s="8"/>
      <c r="CD4539" s="8"/>
    </row>
    <row r="4540" spans="73:82" ht="15.75">
      <c r="BU4540" s="8"/>
      <c r="BZ4540" s="8"/>
      <c r="CD4540" s="8"/>
    </row>
    <row r="4541" spans="73:82" ht="15.75">
      <c r="BU4541" s="8"/>
      <c r="BZ4541" s="8"/>
      <c r="CD4541" s="8"/>
    </row>
    <row r="4542" spans="73:82" ht="15.75">
      <c r="BU4542" s="8"/>
      <c r="BZ4542" s="8"/>
      <c r="CD4542" s="8"/>
    </row>
    <row r="4543" spans="73:82" ht="15.75">
      <c r="BU4543" s="8"/>
      <c r="BZ4543" s="8"/>
      <c r="CD4543" s="8"/>
    </row>
    <row r="4544" spans="73:82" ht="15.75">
      <c r="BU4544" s="8"/>
      <c r="BZ4544" s="8"/>
      <c r="CD4544" s="8"/>
    </row>
    <row r="4545" spans="73:82" ht="15.75">
      <c r="BU4545" s="8"/>
      <c r="BZ4545" s="8"/>
      <c r="CD4545" s="8"/>
    </row>
    <row r="4546" spans="73:82" ht="15.75">
      <c r="BU4546" s="8"/>
      <c r="BZ4546" s="8"/>
      <c r="CD4546" s="8"/>
    </row>
    <row r="4547" spans="73:82" ht="15.75">
      <c r="BU4547" s="8"/>
      <c r="BZ4547" s="8"/>
      <c r="CD4547" s="8"/>
    </row>
    <row r="4548" spans="73:82" ht="15.75">
      <c r="BU4548" s="8"/>
      <c r="BZ4548" s="8"/>
      <c r="CD4548" s="8"/>
    </row>
    <row r="4549" spans="73:82" ht="15.75">
      <c r="BU4549" s="8"/>
      <c r="BZ4549" s="8"/>
      <c r="CD4549" s="8"/>
    </row>
    <row r="4550" spans="73:82" ht="15.75">
      <c r="BU4550" s="8"/>
      <c r="BZ4550" s="8"/>
      <c r="CD4550" s="8"/>
    </row>
    <row r="4551" spans="73:82" ht="15.75">
      <c r="BU4551" s="8"/>
      <c r="BZ4551" s="8"/>
      <c r="CD4551" s="8"/>
    </row>
    <row r="4552" spans="73:82" ht="15.75">
      <c r="BU4552" s="8"/>
      <c r="BZ4552" s="8"/>
      <c r="CD4552" s="8"/>
    </row>
    <row r="4553" spans="73:82" ht="15.75">
      <c r="BU4553" s="8"/>
      <c r="BZ4553" s="8"/>
      <c r="CD4553" s="8"/>
    </row>
    <row r="4554" spans="73:82" ht="15.75">
      <c r="BU4554" s="8"/>
      <c r="BZ4554" s="8"/>
      <c r="CD4554" s="8"/>
    </row>
    <row r="4555" spans="73:82" ht="15.75">
      <c r="BU4555" s="8"/>
      <c r="BZ4555" s="8"/>
      <c r="CD4555" s="8"/>
    </row>
    <row r="4556" spans="73:82" ht="15.75">
      <c r="BU4556" s="8"/>
      <c r="BZ4556" s="8"/>
      <c r="CD4556" s="8"/>
    </row>
    <row r="4557" spans="73:82" ht="15.75">
      <c r="BU4557" s="8"/>
      <c r="BZ4557" s="8"/>
      <c r="CD4557" s="8"/>
    </row>
    <row r="4558" spans="73:82" ht="15.75">
      <c r="BU4558" s="8"/>
      <c r="BZ4558" s="8"/>
      <c r="CD4558" s="8"/>
    </row>
    <row r="4559" spans="73:82" ht="15.75">
      <c r="BU4559" s="8"/>
      <c r="BZ4559" s="8"/>
      <c r="CD4559" s="8"/>
    </row>
    <row r="4560" spans="73:82" ht="15.75">
      <c r="BU4560" s="8"/>
      <c r="BZ4560" s="8"/>
      <c r="CD4560" s="8"/>
    </row>
    <row r="4561" spans="73:82" ht="15.75">
      <c r="BU4561" s="8"/>
      <c r="BZ4561" s="8"/>
      <c r="CD4561" s="8"/>
    </row>
    <row r="4562" spans="73:82" ht="15.75">
      <c r="BU4562" s="8"/>
      <c r="BZ4562" s="8"/>
      <c r="CD4562" s="8"/>
    </row>
    <row r="4563" spans="73:82" ht="15.75">
      <c r="BU4563" s="8"/>
      <c r="BZ4563" s="8"/>
      <c r="CD4563" s="8"/>
    </row>
    <row r="4564" spans="73:82" ht="15.75">
      <c r="BU4564" s="8"/>
      <c r="BZ4564" s="8"/>
      <c r="CD4564" s="8"/>
    </row>
    <row r="4565" spans="73:82" ht="15.75">
      <c r="BU4565" s="8"/>
      <c r="BZ4565" s="8"/>
      <c r="CD4565" s="8"/>
    </row>
    <row r="4566" spans="73:82" ht="15.75">
      <c r="BU4566" s="8"/>
      <c r="BZ4566" s="8"/>
      <c r="CD4566" s="8"/>
    </row>
    <row r="4567" spans="73:82" ht="15.75">
      <c r="BU4567" s="8"/>
      <c r="BZ4567" s="8"/>
      <c r="CD4567" s="8"/>
    </row>
    <row r="4568" spans="73:82" ht="15.75">
      <c r="BU4568" s="8"/>
      <c r="BZ4568" s="8"/>
      <c r="CD4568" s="8"/>
    </row>
    <row r="4569" spans="73:82" ht="15.75">
      <c r="BU4569" s="8"/>
      <c r="BZ4569" s="8"/>
      <c r="CD4569" s="8"/>
    </row>
    <row r="4570" spans="73:82" ht="15.75">
      <c r="BU4570" s="8"/>
      <c r="BZ4570" s="8"/>
      <c r="CD4570" s="8"/>
    </row>
    <row r="4571" spans="73:82" ht="15.75">
      <c r="BU4571" s="8"/>
      <c r="BZ4571" s="8"/>
      <c r="CD4571" s="8"/>
    </row>
    <row r="4572" spans="73:82" ht="15.75">
      <c r="BU4572" s="8"/>
      <c r="BZ4572" s="8"/>
      <c r="CD4572" s="8"/>
    </row>
    <row r="4573" spans="73:82" ht="15.75">
      <c r="BU4573" s="8"/>
      <c r="BZ4573" s="8"/>
      <c r="CD4573" s="8"/>
    </row>
    <row r="4574" spans="73:82" ht="15.75">
      <c r="BU4574" s="8"/>
      <c r="BZ4574" s="8"/>
      <c r="CD4574" s="8"/>
    </row>
    <row r="4575" spans="73:82" ht="15.75">
      <c r="BU4575" s="8"/>
      <c r="BZ4575" s="8"/>
      <c r="CD4575" s="8"/>
    </row>
    <row r="4576" spans="73:82" ht="15.75">
      <c r="BU4576" s="8"/>
      <c r="BZ4576" s="8"/>
      <c r="CD4576" s="8"/>
    </row>
    <row r="4577" spans="73:82" ht="15.75">
      <c r="BU4577" s="8"/>
      <c r="BZ4577" s="8"/>
      <c r="CD4577" s="8"/>
    </row>
    <row r="4578" spans="73:82" ht="15.75">
      <c r="BU4578" s="8"/>
      <c r="BZ4578" s="8"/>
      <c r="CD4578" s="8"/>
    </row>
    <row r="4579" spans="73:82" ht="15.75">
      <c r="BU4579" s="8"/>
      <c r="BZ4579" s="8"/>
      <c r="CD4579" s="8"/>
    </row>
    <row r="4580" spans="73:82" ht="15.75">
      <c r="BU4580" s="8"/>
      <c r="BZ4580" s="8"/>
      <c r="CD4580" s="8"/>
    </row>
    <row r="4581" spans="73:82" ht="15.75">
      <c r="BU4581" s="8"/>
      <c r="BZ4581" s="8"/>
      <c r="CD4581" s="8"/>
    </row>
    <row r="4582" spans="73:82" ht="15.75">
      <c r="BU4582" s="8"/>
      <c r="BZ4582" s="8"/>
      <c r="CD4582" s="8"/>
    </row>
    <row r="4583" spans="73:82" ht="15.75">
      <c r="BU4583" s="8"/>
      <c r="BZ4583" s="8"/>
      <c r="CD4583" s="8"/>
    </row>
    <row r="4584" spans="73:82" ht="15.75">
      <c r="BU4584" s="8"/>
      <c r="BZ4584" s="8"/>
      <c r="CD4584" s="8"/>
    </row>
    <row r="4585" spans="73:82" ht="15.75">
      <c r="BU4585" s="8"/>
      <c r="BZ4585" s="8"/>
      <c r="CD4585" s="8"/>
    </row>
    <row r="4586" spans="73:82" ht="15.75">
      <c r="BU4586" s="8"/>
      <c r="BZ4586" s="8"/>
      <c r="CD4586" s="8"/>
    </row>
    <row r="4587" spans="73:82" ht="15.75">
      <c r="BU4587" s="8"/>
      <c r="BZ4587" s="8"/>
      <c r="CD4587" s="8"/>
    </row>
    <row r="4588" spans="73:82" ht="15.75">
      <c r="BU4588" s="8"/>
      <c r="BZ4588" s="8"/>
      <c r="CD4588" s="8"/>
    </row>
    <row r="4589" spans="73:82" ht="15.75">
      <c r="BU4589" s="8"/>
      <c r="BZ4589" s="8"/>
      <c r="CD4589" s="8"/>
    </row>
    <row r="4590" spans="73:82" ht="15.75">
      <c r="BU4590" s="8"/>
      <c r="BZ4590" s="8"/>
      <c r="CD4590" s="8"/>
    </row>
    <row r="4591" spans="73:82" ht="15.75">
      <c r="BU4591" s="8"/>
      <c r="BZ4591" s="8"/>
      <c r="CD4591" s="8"/>
    </row>
    <row r="4592" spans="73:82" ht="15.75">
      <c r="BU4592" s="8"/>
      <c r="BZ4592" s="8"/>
      <c r="CD4592" s="8"/>
    </row>
    <row r="4593" spans="73:82" ht="15.75">
      <c r="BU4593" s="8"/>
      <c r="BZ4593" s="8"/>
      <c r="CD4593" s="8"/>
    </row>
    <row r="4594" spans="73:82" ht="15.75">
      <c r="BU4594" s="8"/>
      <c r="BZ4594" s="8"/>
      <c r="CD4594" s="8"/>
    </row>
    <row r="4595" spans="73:82" ht="15.75">
      <c r="BU4595" s="8"/>
      <c r="BZ4595" s="8"/>
      <c r="CD4595" s="8"/>
    </row>
    <row r="4596" spans="73:82" ht="15.75">
      <c r="BU4596" s="8"/>
      <c r="BZ4596" s="8"/>
      <c r="CD4596" s="8"/>
    </row>
    <row r="4597" spans="73:82" ht="15.75">
      <c r="BU4597" s="8"/>
      <c r="BZ4597" s="8"/>
      <c r="CD4597" s="8"/>
    </row>
    <row r="4598" spans="73:82" ht="15.75">
      <c r="BU4598" s="8"/>
      <c r="BZ4598" s="8"/>
      <c r="CD4598" s="8"/>
    </row>
    <row r="4599" spans="73:82" ht="15.75">
      <c r="BU4599" s="8"/>
      <c r="BZ4599" s="8"/>
      <c r="CD4599" s="8"/>
    </row>
    <row r="4600" spans="73:82" ht="15.75">
      <c r="BU4600" s="8"/>
      <c r="BZ4600" s="8"/>
      <c r="CD4600" s="8"/>
    </row>
    <row r="4601" spans="73:82" ht="15.75">
      <c r="BU4601" s="8"/>
      <c r="BZ4601" s="8"/>
      <c r="CD4601" s="8"/>
    </row>
    <row r="4602" spans="73:82" ht="15.75">
      <c r="BU4602" s="8"/>
      <c r="BZ4602" s="8"/>
      <c r="CD4602" s="8"/>
    </row>
    <row r="4603" spans="73:82" ht="15.75">
      <c r="BU4603" s="8"/>
      <c r="BZ4603" s="8"/>
      <c r="CD4603" s="8"/>
    </row>
    <row r="4604" spans="73:82" ht="15.75">
      <c r="BU4604" s="8"/>
      <c r="BZ4604" s="8"/>
      <c r="CD4604" s="8"/>
    </row>
    <row r="4605" spans="73:82" ht="15.75">
      <c r="BU4605" s="8"/>
      <c r="BZ4605" s="8"/>
      <c r="CD4605" s="8"/>
    </row>
    <row r="4606" spans="73:82" ht="15.75">
      <c r="BU4606" s="8"/>
      <c r="BZ4606" s="8"/>
      <c r="CD4606" s="8"/>
    </row>
    <row r="4607" spans="73:82" ht="15.75">
      <c r="BU4607" s="8"/>
      <c r="BZ4607" s="8"/>
      <c r="CD4607" s="8"/>
    </row>
    <row r="4608" spans="73:82" ht="15.75">
      <c r="BU4608" s="8"/>
      <c r="BZ4608" s="8"/>
      <c r="CD4608" s="8"/>
    </row>
    <row r="4609" spans="73:82" ht="15.75">
      <c r="BU4609" s="8"/>
      <c r="BZ4609" s="8"/>
      <c r="CD4609" s="8"/>
    </row>
    <row r="4610" spans="73:82" ht="15.75">
      <c r="BU4610" s="8"/>
      <c r="BZ4610" s="8"/>
      <c r="CD4610" s="8"/>
    </row>
    <row r="4611" spans="73:82" ht="15.75">
      <c r="BU4611" s="8"/>
      <c r="BZ4611" s="8"/>
      <c r="CD4611" s="8"/>
    </row>
    <row r="4612" spans="73:82" ht="15.75">
      <c r="BU4612" s="8"/>
      <c r="BZ4612" s="8"/>
      <c r="CD4612" s="8"/>
    </row>
    <row r="4613" spans="73:82" ht="15.75">
      <c r="BU4613" s="8"/>
      <c r="BZ4613" s="8"/>
      <c r="CD4613" s="8"/>
    </row>
    <row r="4614" spans="73:82" ht="15.75">
      <c r="BU4614" s="8"/>
      <c r="BZ4614" s="8"/>
      <c r="CD4614" s="8"/>
    </row>
    <row r="4615" spans="73:82" ht="15.75">
      <c r="BU4615" s="8"/>
      <c r="BZ4615" s="8"/>
      <c r="CD4615" s="8"/>
    </row>
    <row r="4616" spans="73:82" ht="15.75">
      <c r="BU4616" s="8"/>
      <c r="BZ4616" s="8"/>
      <c r="CD4616" s="8"/>
    </row>
    <row r="4617" spans="73:82" ht="15.75">
      <c r="BU4617" s="8"/>
      <c r="BZ4617" s="8"/>
      <c r="CD4617" s="8"/>
    </row>
    <row r="4618" spans="73:82" ht="15.75">
      <c r="BU4618" s="8"/>
      <c r="BZ4618" s="8"/>
      <c r="CD4618" s="8"/>
    </row>
    <row r="4619" spans="73:82" ht="15.75">
      <c r="BU4619" s="8"/>
      <c r="BZ4619" s="8"/>
      <c r="CD4619" s="8"/>
    </row>
    <row r="4620" spans="73:82" ht="15.75">
      <c r="BU4620" s="8"/>
      <c r="BZ4620" s="8"/>
      <c r="CD4620" s="8"/>
    </row>
    <row r="4621" spans="73:82" ht="15.75">
      <c r="BU4621" s="8"/>
      <c r="BZ4621" s="8"/>
      <c r="CD4621" s="8"/>
    </row>
    <row r="4622" spans="73:82" ht="15.75">
      <c r="BU4622" s="8"/>
      <c r="BZ4622" s="8"/>
      <c r="CD4622" s="8"/>
    </row>
    <row r="4623" spans="73:82" ht="15.75">
      <c r="BU4623" s="8"/>
      <c r="BZ4623" s="8"/>
      <c r="CD4623" s="8"/>
    </row>
    <row r="4624" spans="73:82" ht="15.75">
      <c r="BU4624" s="8"/>
      <c r="BZ4624" s="8"/>
      <c r="CD4624" s="8"/>
    </row>
    <row r="4625" spans="73:82" ht="15.75">
      <c r="BU4625" s="8"/>
      <c r="BZ4625" s="8"/>
      <c r="CD4625" s="8"/>
    </row>
    <row r="4626" spans="73:82" ht="15.75">
      <c r="BU4626" s="8"/>
      <c r="BZ4626" s="8"/>
      <c r="CD4626" s="8"/>
    </row>
    <row r="4627" spans="73:82" ht="15.75">
      <c r="BU4627" s="8"/>
      <c r="BZ4627" s="8"/>
      <c r="CD4627" s="8"/>
    </row>
    <row r="4628" spans="73:82" ht="15.75">
      <c r="BU4628" s="8"/>
      <c r="BZ4628" s="8"/>
      <c r="CD4628" s="8"/>
    </row>
    <row r="4629" spans="73:82" ht="15.75">
      <c r="BU4629" s="8"/>
      <c r="BZ4629" s="8"/>
      <c r="CD4629" s="8"/>
    </row>
    <row r="4630" spans="73:82" ht="15.75">
      <c r="BU4630" s="8"/>
      <c r="BZ4630" s="8"/>
      <c r="CD4630" s="8"/>
    </row>
    <row r="4631" spans="73:82" ht="15.75">
      <c r="BU4631" s="8"/>
      <c r="BZ4631" s="8"/>
      <c r="CD4631" s="8"/>
    </row>
    <row r="4632" spans="73:82" ht="15.75">
      <c r="BU4632" s="8"/>
      <c r="BZ4632" s="8"/>
      <c r="CD4632" s="8"/>
    </row>
    <row r="4633" spans="73:82" ht="15.75">
      <c r="BU4633" s="8"/>
      <c r="BZ4633" s="8"/>
      <c r="CD4633" s="8"/>
    </row>
    <row r="4634" spans="73:82" ht="15.75">
      <c r="BU4634" s="8"/>
      <c r="BZ4634" s="8"/>
      <c r="CD4634" s="8"/>
    </row>
    <row r="4635" spans="73:82" ht="15.75">
      <c r="BU4635" s="8"/>
      <c r="BZ4635" s="8"/>
      <c r="CD4635" s="8"/>
    </row>
    <row r="4636" spans="73:82" ht="15.75">
      <c r="BU4636" s="8"/>
      <c r="BZ4636" s="8"/>
      <c r="CD4636" s="8"/>
    </row>
    <row r="4637" spans="73:82" ht="15.75">
      <c r="BU4637" s="8"/>
      <c r="BZ4637" s="8"/>
      <c r="CD4637" s="8"/>
    </row>
    <row r="4638" spans="73:82" ht="15.75">
      <c r="BU4638" s="8"/>
      <c r="BZ4638" s="8"/>
      <c r="CD4638" s="8"/>
    </row>
    <row r="4639" spans="73:82" ht="15.75">
      <c r="BU4639" s="8"/>
      <c r="BZ4639" s="8"/>
      <c r="CD4639" s="8"/>
    </row>
    <row r="4640" spans="73:82" ht="15.75">
      <c r="BU4640" s="8"/>
      <c r="BZ4640" s="8"/>
      <c r="CD4640" s="8"/>
    </row>
    <row r="4641" spans="73:82" ht="15.75">
      <c r="BU4641" s="8"/>
      <c r="BZ4641" s="8"/>
      <c r="CD4641" s="8"/>
    </row>
    <row r="4642" spans="73:82" ht="15.75">
      <c r="BU4642" s="8"/>
      <c r="BZ4642" s="8"/>
      <c r="CD4642" s="8"/>
    </row>
    <row r="4643" spans="73:82" ht="15.75">
      <c r="BU4643" s="8"/>
      <c r="BZ4643" s="8"/>
      <c r="CD4643" s="8"/>
    </row>
    <row r="4644" spans="73:82" ht="15.75">
      <c r="BU4644" s="8"/>
      <c r="BZ4644" s="8"/>
      <c r="CD4644" s="8"/>
    </row>
    <row r="4645" spans="73:82" ht="15.75">
      <c r="BU4645" s="8"/>
      <c r="BZ4645" s="8"/>
      <c r="CD4645" s="8"/>
    </row>
    <row r="4646" spans="73:82" ht="15.75">
      <c r="BU4646" s="8"/>
      <c r="BZ4646" s="8"/>
      <c r="CD4646" s="8"/>
    </row>
    <row r="4647" spans="73:82" ht="15.75">
      <c r="BU4647" s="8"/>
      <c r="BZ4647" s="8"/>
      <c r="CD4647" s="8"/>
    </row>
    <row r="4648" spans="73:82" ht="15.75">
      <c r="BU4648" s="8"/>
      <c r="BZ4648" s="8"/>
      <c r="CD4648" s="8"/>
    </row>
    <row r="4649" spans="73:82" ht="15.75">
      <c r="BU4649" s="8"/>
      <c r="BZ4649" s="8"/>
      <c r="CD4649" s="8"/>
    </row>
    <row r="4650" spans="73:82" ht="15.75">
      <c r="BU4650" s="8"/>
      <c r="BZ4650" s="8"/>
      <c r="CD4650" s="8"/>
    </row>
    <row r="4651" spans="73:82" ht="15.75">
      <c r="BU4651" s="8"/>
      <c r="BZ4651" s="8"/>
      <c r="CD4651" s="8"/>
    </row>
    <row r="4652" spans="73:82" ht="15.75">
      <c r="BU4652" s="8"/>
      <c r="BZ4652" s="8"/>
      <c r="CD4652" s="8"/>
    </row>
    <row r="4653" spans="73:82" ht="15.75">
      <c r="BU4653" s="8"/>
      <c r="BZ4653" s="8"/>
      <c r="CD4653" s="8"/>
    </row>
    <row r="4654" spans="73:82" ht="15.75">
      <c r="BU4654" s="8"/>
      <c r="BZ4654" s="8"/>
      <c r="CD4654" s="8"/>
    </row>
    <row r="4655" spans="73:82" ht="15.75">
      <c r="BU4655" s="8"/>
      <c r="BZ4655" s="8"/>
      <c r="CD4655" s="8"/>
    </row>
    <row r="4656" spans="73:82" ht="15.75">
      <c r="BU4656" s="8"/>
      <c r="BZ4656" s="8"/>
      <c r="CD4656" s="8"/>
    </row>
    <row r="4657" spans="73:82" ht="15.75">
      <c r="BU4657" s="8"/>
      <c r="BZ4657" s="8"/>
      <c r="CD4657" s="8"/>
    </row>
    <row r="4658" spans="73:82" ht="15.75">
      <c r="BU4658" s="8"/>
      <c r="BZ4658" s="8"/>
      <c r="CD4658" s="8"/>
    </row>
    <row r="4659" spans="73:82" ht="15.75">
      <c r="BU4659" s="8"/>
      <c r="BZ4659" s="8"/>
      <c r="CD4659" s="8"/>
    </row>
    <row r="4660" spans="73:82" ht="15.75">
      <c r="BU4660" s="8"/>
      <c r="BZ4660" s="8"/>
      <c r="CD4660" s="8"/>
    </row>
    <row r="4661" spans="73:82" ht="15.75">
      <c r="BU4661" s="8"/>
      <c r="BZ4661" s="8"/>
      <c r="CD4661" s="8"/>
    </row>
    <row r="4662" spans="73:82" ht="15.75">
      <c r="BU4662" s="8"/>
      <c r="BZ4662" s="8"/>
      <c r="CD4662" s="8"/>
    </row>
    <row r="4663" spans="73:82" ht="15.75">
      <c r="BU4663" s="8"/>
      <c r="BZ4663" s="8"/>
      <c r="CD4663" s="8"/>
    </row>
    <row r="4664" spans="73:82" ht="15.75">
      <c r="BU4664" s="8"/>
      <c r="BZ4664" s="8"/>
      <c r="CD4664" s="8"/>
    </row>
    <row r="4665" spans="73:82" ht="15.75">
      <c r="BU4665" s="8"/>
      <c r="BZ4665" s="8"/>
      <c r="CD4665" s="8"/>
    </row>
    <row r="4666" spans="73:82" ht="15.75">
      <c r="BU4666" s="8"/>
      <c r="BZ4666" s="8"/>
      <c r="CD4666" s="8"/>
    </row>
    <row r="4667" spans="73:82" ht="15.75">
      <c r="BU4667" s="8"/>
      <c r="BZ4667" s="8"/>
      <c r="CD4667" s="8"/>
    </row>
    <row r="4668" spans="73:82" ht="15.75">
      <c r="BU4668" s="8"/>
      <c r="BZ4668" s="8"/>
      <c r="CD4668" s="8"/>
    </row>
    <row r="4669" spans="73:82" ht="15.75">
      <c r="BU4669" s="8"/>
      <c r="BZ4669" s="8"/>
      <c r="CD4669" s="8"/>
    </row>
    <row r="4670" spans="73:82" ht="15.75">
      <c r="BU4670" s="8"/>
      <c r="BZ4670" s="8"/>
      <c r="CD4670" s="8"/>
    </row>
    <row r="4671" spans="73:82" ht="15.75">
      <c r="BU4671" s="8"/>
      <c r="BZ4671" s="8"/>
      <c r="CD4671" s="8"/>
    </row>
    <row r="4672" spans="73:82" ht="15.75">
      <c r="BU4672" s="8"/>
      <c r="BZ4672" s="8"/>
      <c r="CD4672" s="8"/>
    </row>
    <row r="4673" spans="73:82" ht="15.75">
      <c r="BU4673" s="8"/>
      <c r="BZ4673" s="8"/>
      <c r="CD4673" s="8"/>
    </row>
    <row r="4674" spans="73:82" ht="15.75">
      <c r="BU4674" s="8"/>
      <c r="BZ4674" s="8"/>
      <c r="CD4674" s="8"/>
    </row>
    <row r="4675" spans="73:82" ht="15.75">
      <c r="BU4675" s="8"/>
      <c r="BZ4675" s="8"/>
      <c r="CD4675" s="8"/>
    </row>
    <row r="4676" spans="73:82" ht="15.75">
      <c r="BU4676" s="8"/>
      <c r="BZ4676" s="8"/>
      <c r="CD4676" s="8"/>
    </row>
    <row r="4677" spans="73:82" ht="15.75">
      <c r="BU4677" s="8"/>
      <c r="BZ4677" s="8"/>
      <c r="CD4677" s="8"/>
    </row>
    <row r="4678" spans="73:82" ht="15.75">
      <c r="BU4678" s="8"/>
      <c r="BZ4678" s="8"/>
      <c r="CD4678" s="8"/>
    </row>
    <row r="4679" spans="73:82" ht="15.75">
      <c r="BU4679" s="8"/>
      <c r="BZ4679" s="8"/>
      <c r="CD4679" s="8"/>
    </row>
    <row r="4680" spans="73:82" ht="15.75">
      <c r="BU4680" s="8"/>
      <c r="BZ4680" s="8"/>
      <c r="CD4680" s="8"/>
    </row>
    <row r="4681" spans="73:82" ht="15.75">
      <c r="BU4681" s="8"/>
      <c r="BZ4681" s="8"/>
      <c r="CD4681" s="8"/>
    </row>
    <row r="4682" spans="73:82" ht="15.75">
      <c r="BU4682" s="8"/>
      <c r="BZ4682" s="8"/>
      <c r="CD4682" s="8"/>
    </row>
    <row r="4683" spans="73:82" ht="15.75">
      <c r="BU4683" s="8"/>
      <c r="BZ4683" s="8"/>
      <c r="CD4683" s="8"/>
    </row>
    <row r="4684" spans="73:82" ht="15.75">
      <c r="BU4684" s="8"/>
      <c r="BZ4684" s="8"/>
      <c r="CD4684" s="8"/>
    </row>
    <row r="4685" spans="73:82" ht="15.75">
      <c r="BU4685" s="8"/>
      <c r="BZ4685" s="8"/>
      <c r="CD4685" s="8"/>
    </row>
    <row r="4686" spans="73:82" ht="15.75">
      <c r="BU4686" s="8"/>
      <c r="BZ4686" s="8"/>
      <c r="CD4686" s="8"/>
    </row>
    <row r="4687" spans="73:82" ht="15.75">
      <c r="BU4687" s="8"/>
      <c r="BZ4687" s="8"/>
      <c r="CD4687" s="8"/>
    </row>
    <row r="4688" spans="73:82" ht="15.75">
      <c r="BU4688" s="8"/>
      <c r="BZ4688" s="8"/>
      <c r="CD4688" s="8"/>
    </row>
    <row r="4689" spans="73:82" ht="15.75">
      <c r="BU4689" s="8"/>
      <c r="BZ4689" s="8"/>
      <c r="CD4689" s="8"/>
    </row>
    <row r="4690" spans="73:82" ht="15.75">
      <c r="BU4690" s="8"/>
      <c r="BZ4690" s="8"/>
      <c r="CD4690" s="8"/>
    </row>
    <row r="4691" spans="73:82" ht="15.75">
      <c r="BU4691" s="8"/>
      <c r="BZ4691" s="8"/>
      <c r="CD4691" s="8"/>
    </row>
    <row r="4692" spans="73:82" ht="15.75">
      <c r="BU4692" s="8"/>
      <c r="BZ4692" s="8"/>
      <c r="CD4692" s="8"/>
    </row>
    <row r="4693" spans="73:82" ht="15.75">
      <c r="BU4693" s="8"/>
      <c r="BZ4693" s="8"/>
      <c r="CD4693" s="8"/>
    </row>
    <row r="4694" spans="73:82" ht="15.75">
      <c r="BU4694" s="8"/>
      <c r="BZ4694" s="8"/>
      <c r="CD4694" s="8"/>
    </row>
    <row r="4695" spans="73:82" ht="15.75">
      <c r="BU4695" s="8"/>
      <c r="BZ4695" s="8"/>
      <c r="CD4695" s="8"/>
    </row>
    <row r="4696" spans="73:82" ht="15.75">
      <c r="BU4696" s="8"/>
      <c r="BZ4696" s="8"/>
      <c r="CD4696" s="8"/>
    </row>
    <row r="4697" spans="73:82" ht="15.75">
      <c r="BU4697" s="8"/>
      <c r="BZ4697" s="8"/>
      <c r="CD4697" s="8"/>
    </row>
    <row r="4698" spans="73:82" ht="15.75">
      <c r="BU4698" s="8"/>
      <c r="BZ4698" s="8"/>
      <c r="CD4698" s="8"/>
    </row>
    <row r="4699" spans="73:82" ht="15.75">
      <c r="BU4699" s="8"/>
      <c r="BZ4699" s="8"/>
      <c r="CD4699" s="8"/>
    </row>
    <row r="4700" spans="73:82" ht="15.75">
      <c r="BU4700" s="8"/>
      <c r="BZ4700" s="8"/>
      <c r="CD4700" s="8"/>
    </row>
    <row r="4701" spans="73:82" ht="15.75">
      <c r="BU4701" s="8"/>
      <c r="BZ4701" s="8"/>
      <c r="CD4701" s="8"/>
    </row>
    <row r="4702" spans="73:82" ht="15.75">
      <c r="BU4702" s="8"/>
      <c r="BZ4702" s="8"/>
      <c r="CD4702" s="8"/>
    </row>
    <row r="4703" spans="73:82" ht="15.75">
      <c r="BU4703" s="8"/>
      <c r="BZ4703" s="8"/>
      <c r="CD4703" s="8"/>
    </row>
    <row r="4704" spans="73:82" ht="15.75">
      <c r="BU4704" s="8"/>
      <c r="BZ4704" s="8"/>
      <c r="CD4704" s="8"/>
    </row>
    <row r="4705" spans="73:82" ht="15.75">
      <c r="BU4705" s="8"/>
      <c r="BZ4705" s="8"/>
      <c r="CD4705" s="8"/>
    </row>
    <row r="4706" spans="73:82" ht="15.75">
      <c r="BU4706" s="8"/>
      <c r="BZ4706" s="8"/>
      <c r="CD4706" s="8"/>
    </row>
    <row r="4707" spans="73:82" ht="15.75">
      <c r="BU4707" s="8"/>
      <c r="BZ4707" s="8"/>
      <c r="CD4707" s="8"/>
    </row>
    <row r="4708" spans="73:82" ht="15.75">
      <c r="BU4708" s="8"/>
      <c r="BZ4708" s="8"/>
      <c r="CD4708" s="8"/>
    </row>
    <row r="4709" spans="73:82" ht="15.75">
      <c r="BU4709" s="8"/>
      <c r="BZ4709" s="8"/>
      <c r="CD4709" s="8"/>
    </row>
    <row r="4710" spans="73:82" ht="15.75">
      <c r="BU4710" s="8"/>
      <c r="BZ4710" s="8"/>
      <c r="CD4710" s="8"/>
    </row>
    <row r="4711" spans="73:82" ht="15.75">
      <c r="BU4711" s="8"/>
      <c r="BZ4711" s="8"/>
      <c r="CD4711" s="8"/>
    </row>
    <row r="4712" spans="73:82" ht="15.75">
      <c r="BU4712" s="8"/>
      <c r="BZ4712" s="8"/>
      <c r="CD4712" s="8"/>
    </row>
    <row r="4713" spans="73:82" ht="15.75">
      <c r="BU4713" s="8"/>
      <c r="BZ4713" s="8"/>
      <c r="CD4713" s="8"/>
    </row>
    <row r="4714" spans="73:82" ht="15.75">
      <c r="BU4714" s="8"/>
      <c r="BZ4714" s="8"/>
      <c r="CD4714" s="8"/>
    </row>
    <row r="4715" spans="73:82" ht="15.75">
      <c r="BU4715" s="8"/>
      <c r="BZ4715" s="8"/>
      <c r="CD4715" s="8"/>
    </row>
    <row r="4716" spans="73:82" ht="15.75">
      <c r="BU4716" s="8"/>
      <c r="BZ4716" s="8"/>
      <c r="CD4716" s="8"/>
    </row>
    <row r="4717" spans="73:82" ht="15.75">
      <c r="BU4717" s="8"/>
      <c r="BZ4717" s="8"/>
      <c r="CD4717" s="8"/>
    </row>
    <row r="4718" spans="73:82" ht="15.75">
      <c r="BU4718" s="8"/>
      <c r="BZ4718" s="8"/>
      <c r="CD4718" s="8"/>
    </row>
    <row r="4719" spans="73:82" ht="15.75">
      <c r="BU4719" s="8"/>
      <c r="BZ4719" s="8"/>
      <c r="CD4719" s="8"/>
    </row>
    <row r="4720" spans="73:82" ht="15.75">
      <c r="BU4720" s="8"/>
      <c r="BZ4720" s="8"/>
      <c r="CD4720" s="8"/>
    </row>
    <row r="4721" spans="73:82" ht="15.75">
      <c r="BU4721" s="8"/>
      <c r="BZ4721" s="8"/>
      <c r="CD4721" s="8"/>
    </row>
    <row r="4722" spans="73:82" ht="15.75">
      <c r="BU4722" s="8"/>
      <c r="BZ4722" s="8"/>
      <c r="CD4722" s="8"/>
    </row>
    <row r="4723" spans="73:82" ht="15.75">
      <c r="BU4723" s="8"/>
      <c r="BZ4723" s="8"/>
      <c r="CD4723" s="8"/>
    </row>
    <row r="4724" spans="73:82" ht="15.75">
      <c r="BU4724" s="8"/>
      <c r="BZ4724" s="8"/>
      <c r="CD4724" s="8"/>
    </row>
    <row r="4725" spans="73:82" ht="15.75">
      <c r="BU4725" s="8"/>
      <c r="BZ4725" s="8"/>
      <c r="CD4725" s="8"/>
    </row>
    <row r="4726" spans="73:82" ht="15.75">
      <c r="BU4726" s="8"/>
      <c r="BZ4726" s="8"/>
      <c r="CD4726" s="8"/>
    </row>
    <row r="4727" spans="73:82" ht="15.75">
      <c r="BU4727" s="8"/>
      <c r="BZ4727" s="8"/>
      <c r="CD4727" s="8"/>
    </row>
    <row r="4728" spans="73:82" ht="15.75">
      <c r="BU4728" s="8"/>
      <c r="BZ4728" s="8"/>
      <c r="CD4728" s="8"/>
    </row>
    <row r="4729" spans="73:82" ht="15.75">
      <c r="BU4729" s="8"/>
      <c r="BZ4729" s="8"/>
      <c r="CD4729" s="8"/>
    </row>
    <row r="4730" spans="73:82" ht="15.75">
      <c r="BU4730" s="8"/>
      <c r="BZ4730" s="8"/>
      <c r="CD4730" s="8"/>
    </row>
    <row r="4731" spans="73:82" ht="15.75">
      <c r="BU4731" s="8"/>
      <c r="BZ4731" s="8"/>
      <c r="CD4731" s="8"/>
    </row>
    <row r="4732" spans="73:82" ht="15.75">
      <c r="BU4732" s="8"/>
      <c r="BZ4732" s="8"/>
      <c r="CD4732" s="8"/>
    </row>
    <row r="4733" spans="73:82" ht="15.75">
      <c r="BU4733" s="8"/>
      <c r="BZ4733" s="8"/>
      <c r="CD4733" s="8"/>
    </row>
    <row r="4734" spans="73:82" ht="15.75">
      <c r="BU4734" s="8"/>
      <c r="BZ4734" s="8"/>
      <c r="CD4734" s="8"/>
    </row>
    <row r="4735" spans="73:82" ht="15.75">
      <c r="BU4735" s="8"/>
      <c r="BZ4735" s="8"/>
      <c r="CD4735" s="8"/>
    </row>
    <row r="4736" spans="73:82" ht="15.75">
      <c r="BU4736" s="8"/>
      <c r="BZ4736" s="8"/>
      <c r="CD4736" s="8"/>
    </row>
    <row r="4737" spans="73:82" ht="15.75">
      <c r="BU4737" s="8"/>
      <c r="BZ4737" s="8"/>
      <c r="CD4737" s="8"/>
    </row>
    <row r="4738" spans="73:82" ht="15.75">
      <c r="BU4738" s="8"/>
      <c r="BZ4738" s="8"/>
      <c r="CD4738" s="8"/>
    </row>
    <row r="4739" spans="73:82" ht="15.75">
      <c r="BU4739" s="8"/>
      <c r="BZ4739" s="8"/>
      <c r="CD4739" s="8"/>
    </row>
    <row r="4740" spans="73:82" ht="15.75">
      <c r="BU4740" s="8"/>
      <c r="BZ4740" s="8"/>
      <c r="CD4740" s="8"/>
    </row>
    <row r="4741" spans="73:82" ht="15.75">
      <c r="BU4741" s="8"/>
      <c r="BZ4741" s="8"/>
      <c r="CD4741" s="8"/>
    </row>
    <row r="4742" spans="73:82" ht="15.75">
      <c r="BU4742" s="8"/>
      <c r="BZ4742" s="8"/>
      <c r="CD4742" s="8"/>
    </row>
    <row r="4743" spans="73:82" ht="15.75">
      <c r="BU4743" s="8"/>
      <c r="BZ4743" s="8"/>
      <c r="CD4743" s="8"/>
    </row>
    <row r="4744" spans="73:82" ht="15.75">
      <c r="BU4744" s="8"/>
      <c r="BZ4744" s="8"/>
      <c r="CD4744" s="8"/>
    </row>
    <row r="4745" spans="73:82" ht="15.75">
      <c r="BU4745" s="8"/>
      <c r="BZ4745" s="8"/>
      <c r="CD4745" s="8"/>
    </row>
    <row r="4746" spans="73:82" ht="15.75">
      <c r="BU4746" s="8"/>
      <c r="BZ4746" s="8"/>
      <c r="CD4746" s="8"/>
    </row>
    <row r="4747" spans="73:82" ht="15.75">
      <c r="BU4747" s="8"/>
      <c r="BZ4747" s="8"/>
      <c r="CD4747" s="8"/>
    </row>
    <row r="4748" spans="73:82" ht="15.75">
      <c r="BU4748" s="8"/>
      <c r="BZ4748" s="8"/>
      <c r="CD4748" s="8"/>
    </row>
    <row r="4749" spans="73:82" ht="15.75">
      <c r="BU4749" s="8"/>
      <c r="BZ4749" s="8"/>
      <c r="CD4749" s="8"/>
    </row>
    <row r="4750" spans="73:82" ht="15.75">
      <c r="BU4750" s="8"/>
      <c r="BZ4750" s="8"/>
      <c r="CD4750" s="8"/>
    </row>
    <row r="4751" spans="73:82" ht="15.75">
      <c r="BU4751" s="8"/>
      <c r="BZ4751" s="8"/>
      <c r="CD4751" s="8"/>
    </row>
    <row r="4752" spans="73:82" ht="15.75">
      <c r="BU4752" s="8"/>
      <c r="BZ4752" s="8"/>
      <c r="CD4752" s="8"/>
    </row>
    <row r="4753" spans="73:82" ht="15.75">
      <c r="BU4753" s="8"/>
      <c r="BZ4753" s="8"/>
      <c r="CD4753" s="8"/>
    </row>
    <row r="4754" spans="73:82" ht="15.75">
      <c r="BU4754" s="8"/>
      <c r="BZ4754" s="8"/>
      <c r="CD4754" s="8"/>
    </row>
    <row r="4755" spans="73:82" ht="15.75">
      <c r="BU4755" s="8"/>
      <c r="BZ4755" s="8"/>
      <c r="CD4755" s="8"/>
    </row>
    <row r="4756" spans="73:82" ht="15.75">
      <c r="BU4756" s="8"/>
      <c r="BZ4756" s="8"/>
      <c r="CD4756" s="8"/>
    </row>
    <row r="4757" spans="73:82" ht="15.75">
      <c r="BU4757" s="8"/>
      <c r="BZ4757" s="8"/>
      <c r="CD4757" s="8"/>
    </row>
    <row r="4758" spans="73:82" ht="15.75">
      <c r="BU4758" s="8"/>
      <c r="BZ4758" s="8"/>
      <c r="CD4758" s="8"/>
    </row>
    <row r="4759" spans="73:82" ht="15.75">
      <c r="BU4759" s="8"/>
      <c r="BZ4759" s="8"/>
      <c r="CD4759" s="8"/>
    </row>
    <row r="4760" spans="73:82" ht="15.75">
      <c r="BU4760" s="8"/>
      <c r="BZ4760" s="8"/>
      <c r="CD4760" s="8"/>
    </row>
    <row r="4761" spans="73:82" ht="15.75">
      <c r="BU4761" s="8"/>
      <c r="BZ4761" s="8"/>
      <c r="CD4761" s="8"/>
    </row>
    <row r="4762" spans="73:82" ht="15.75">
      <c r="BU4762" s="8"/>
      <c r="BZ4762" s="8"/>
      <c r="CD4762" s="8"/>
    </row>
    <row r="4763" spans="73:82" ht="15.75">
      <c r="BU4763" s="8"/>
      <c r="BZ4763" s="8"/>
      <c r="CD4763" s="8"/>
    </row>
    <row r="4764" spans="73:82" ht="15.75">
      <c r="BU4764" s="8"/>
      <c r="BZ4764" s="8"/>
      <c r="CD4764" s="8"/>
    </row>
    <row r="4765" spans="73:82" ht="15.75">
      <c r="BU4765" s="8"/>
      <c r="BZ4765" s="8"/>
      <c r="CD4765" s="8"/>
    </row>
    <row r="4766" spans="73:82" ht="15.75">
      <c r="BU4766" s="8"/>
      <c r="BZ4766" s="8"/>
      <c r="CD4766" s="8"/>
    </row>
    <row r="4767" spans="73:82" ht="15.75">
      <c r="BU4767" s="8"/>
      <c r="BZ4767" s="8"/>
      <c r="CD4767" s="8"/>
    </row>
    <row r="4768" spans="73:82" ht="15.75">
      <c r="BU4768" s="8"/>
      <c r="BZ4768" s="8"/>
      <c r="CD4768" s="8"/>
    </row>
    <row r="4769" spans="73:82" ht="15.75">
      <c r="BU4769" s="8"/>
      <c r="BZ4769" s="8"/>
      <c r="CD4769" s="8"/>
    </row>
    <row r="4770" spans="73:82" ht="15.75">
      <c r="BU4770" s="8"/>
      <c r="BZ4770" s="8"/>
      <c r="CD4770" s="8"/>
    </row>
    <row r="4771" spans="73:82" ht="15.75">
      <c r="BU4771" s="8"/>
      <c r="BZ4771" s="8"/>
      <c r="CD4771" s="8"/>
    </row>
    <row r="4772" spans="73:82" ht="15.75">
      <c r="BU4772" s="8"/>
      <c r="BZ4772" s="8"/>
      <c r="CD4772" s="8"/>
    </row>
    <row r="4773" spans="73:82" ht="15.75">
      <c r="BU4773" s="8"/>
      <c r="BZ4773" s="8"/>
      <c r="CD4773" s="8"/>
    </row>
    <row r="4774" spans="73:82" ht="15.75">
      <c r="BU4774" s="8"/>
      <c r="BZ4774" s="8"/>
      <c r="CD4774" s="8"/>
    </row>
    <row r="4775" spans="73:82" ht="15.75">
      <c r="BU4775" s="8"/>
      <c r="BZ4775" s="8"/>
      <c r="CD4775" s="8"/>
    </row>
    <row r="4776" spans="73:82" ht="15.75">
      <c r="BU4776" s="8"/>
      <c r="BZ4776" s="8"/>
      <c r="CD4776" s="8"/>
    </row>
    <row r="4777" spans="73:82" ht="15.75">
      <c r="BU4777" s="8"/>
      <c r="BZ4777" s="8"/>
      <c r="CD4777" s="8"/>
    </row>
    <row r="4778" spans="73:82" ht="15.75">
      <c r="BU4778" s="8"/>
      <c r="BZ4778" s="8"/>
      <c r="CD4778" s="8"/>
    </row>
    <row r="4779" spans="73:82" ht="15.75">
      <c r="BU4779" s="8"/>
      <c r="BZ4779" s="8"/>
      <c r="CD4779" s="8"/>
    </row>
    <row r="4780" spans="73:82" ht="15.75">
      <c r="BU4780" s="8"/>
      <c r="BZ4780" s="8"/>
      <c r="CD4780" s="8"/>
    </row>
    <row r="4781" spans="73:82" ht="15.75">
      <c r="BU4781" s="8"/>
      <c r="BZ4781" s="8"/>
      <c r="CD4781" s="8"/>
    </row>
    <row r="4782" spans="73:82" ht="15.75">
      <c r="BU4782" s="8"/>
      <c r="BZ4782" s="8"/>
      <c r="CD4782" s="8"/>
    </row>
    <row r="4783" spans="73:82" ht="15.75">
      <c r="BU4783" s="8"/>
      <c r="BZ4783" s="8"/>
      <c r="CD4783" s="8"/>
    </row>
    <row r="4784" spans="73:82" ht="15.75">
      <c r="BU4784" s="8"/>
      <c r="BZ4784" s="8"/>
      <c r="CD4784" s="8"/>
    </row>
    <row r="4785" spans="73:82" ht="15.75">
      <c r="BU4785" s="8"/>
      <c r="BZ4785" s="8"/>
      <c r="CD4785" s="8"/>
    </row>
    <row r="4786" spans="73:82" ht="15.75">
      <c r="BU4786" s="8"/>
      <c r="BZ4786" s="8"/>
      <c r="CD4786" s="8"/>
    </row>
    <row r="4787" spans="73:82" ht="15.75">
      <c r="BU4787" s="8"/>
      <c r="BZ4787" s="8"/>
      <c r="CD4787" s="8"/>
    </row>
    <row r="4788" spans="73:82" ht="15.75">
      <c r="BU4788" s="8"/>
      <c r="BZ4788" s="8"/>
      <c r="CD4788" s="8"/>
    </row>
    <row r="4789" spans="73:82" ht="15.75">
      <c r="BU4789" s="8"/>
      <c r="BZ4789" s="8"/>
      <c r="CD4789" s="8"/>
    </row>
    <row r="4790" spans="73:82" ht="15.75">
      <c r="BU4790" s="8"/>
      <c r="BZ4790" s="8"/>
      <c r="CD4790" s="8"/>
    </row>
    <row r="4791" spans="73:82" ht="15.75">
      <c r="BU4791" s="8"/>
      <c r="BZ4791" s="8"/>
      <c r="CD4791" s="8"/>
    </row>
    <row r="4792" spans="73:82" ht="15.75">
      <c r="BU4792" s="8"/>
      <c r="BZ4792" s="8"/>
      <c r="CD4792" s="8"/>
    </row>
    <row r="4793" spans="73:82" ht="15.75">
      <c r="BU4793" s="8"/>
      <c r="BZ4793" s="8"/>
      <c r="CD4793" s="8"/>
    </row>
    <row r="4794" spans="73:82" ht="15.75">
      <c r="BU4794" s="8"/>
      <c r="BZ4794" s="8"/>
      <c r="CD4794" s="8"/>
    </row>
    <row r="4795" spans="73:82" ht="15.75">
      <c r="BU4795" s="8"/>
      <c r="BZ4795" s="8"/>
      <c r="CD4795" s="8"/>
    </row>
    <row r="4796" spans="73:82" ht="15.75">
      <c r="BU4796" s="8"/>
      <c r="BZ4796" s="8"/>
      <c r="CD4796" s="8"/>
    </row>
    <row r="4797" spans="73:82" ht="15.75">
      <c r="BU4797" s="8"/>
      <c r="BZ4797" s="8"/>
      <c r="CD4797" s="8"/>
    </row>
    <row r="4798" spans="73:82" ht="15.75">
      <c r="BU4798" s="8"/>
      <c r="BZ4798" s="8"/>
      <c r="CD4798" s="8"/>
    </row>
    <row r="4799" spans="73:82" ht="15.75">
      <c r="BU4799" s="8"/>
      <c r="BZ4799" s="8"/>
      <c r="CD4799" s="8"/>
    </row>
    <row r="4800" spans="73:82" ht="15.75">
      <c r="BU4800" s="8"/>
      <c r="BZ4800" s="8"/>
      <c r="CD4800" s="8"/>
    </row>
    <row r="4801" spans="73:82" ht="15.75">
      <c r="BU4801" s="8"/>
      <c r="BZ4801" s="8"/>
      <c r="CD4801" s="8"/>
    </row>
    <row r="4802" spans="73:82" ht="15.75">
      <c r="BU4802" s="8"/>
      <c r="BZ4802" s="8"/>
      <c r="CD4802" s="8"/>
    </row>
    <row r="4803" spans="73:82" ht="15.75">
      <c r="BU4803" s="8"/>
      <c r="BZ4803" s="8"/>
      <c r="CD4803" s="8"/>
    </row>
    <row r="4804" spans="73:82" ht="15.75">
      <c r="BU4804" s="8"/>
      <c r="BZ4804" s="8"/>
      <c r="CD4804" s="8"/>
    </row>
    <row r="4805" spans="73:82" ht="15.75">
      <c r="BU4805" s="8"/>
      <c r="BZ4805" s="8"/>
      <c r="CD4805" s="8"/>
    </row>
    <row r="4806" spans="73:82" ht="15.75">
      <c r="BU4806" s="8"/>
      <c r="BZ4806" s="8"/>
      <c r="CD4806" s="8"/>
    </row>
    <row r="4807" spans="73:82" ht="15.75">
      <c r="BU4807" s="8"/>
      <c r="BZ4807" s="8"/>
      <c r="CD4807" s="8"/>
    </row>
    <row r="4808" spans="73:82" ht="15.75">
      <c r="BU4808" s="8"/>
      <c r="BZ4808" s="8"/>
      <c r="CD4808" s="8"/>
    </row>
    <row r="4809" spans="73:82" ht="15.75">
      <c r="BU4809" s="8"/>
      <c r="BZ4809" s="8"/>
      <c r="CD4809" s="8"/>
    </row>
    <row r="4810" spans="73:82" ht="15.75">
      <c r="BU4810" s="8"/>
      <c r="BZ4810" s="8"/>
      <c r="CD4810" s="8"/>
    </row>
    <row r="4811" spans="73:82" ht="15.75">
      <c r="BU4811" s="8"/>
      <c r="BZ4811" s="8"/>
      <c r="CD4811" s="8"/>
    </row>
    <row r="4812" spans="73:82" ht="15.75">
      <c r="BU4812" s="8"/>
      <c r="BZ4812" s="8"/>
      <c r="CD4812" s="8"/>
    </row>
    <row r="4813" spans="73:82" ht="15.75">
      <c r="BU4813" s="8"/>
      <c r="BZ4813" s="8"/>
      <c r="CD4813" s="8"/>
    </row>
    <row r="4814" spans="73:82" ht="15.75">
      <c r="BU4814" s="8"/>
      <c r="BZ4814" s="8"/>
      <c r="CD4814" s="8"/>
    </row>
    <row r="4815" spans="73:82" ht="15.75">
      <c r="BU4815" s="8"/>
      <c r="BZ4815" s="8"/>
      <c r="CD4815" s="8"/>
    </row>
    <row r="4816" spans="73:82" ht="15.75">
      <c r="BU4816" s="8"/>
      <c r="BZ4816" s="8"/>
      <c r="CD4816" s="8"/>
    </row>
    <row r="4817" spans="73:82" ht="15.75">
      <c r="BU4817" s="8"/>
      <c r="BZ4817" s="8"/>
      <c r="CD4817" s="8"/>
    </row>
    <row r="4818" spans="73:82" ht="15.75">
      <c r="BU4818" s="8"/>
      <c r="BZ4818" s="8"/>
      <c r="CD4818" s="8"/>
    </row>
    <row r="4819" spans="73:82" ht="15.75">
      <c r="BU4819" s="8"/>
      <c r="BZ4819" s="8"/>
      <c r="CD4819" s="8"/>
    </row>
    <row r="4820" spans="73:82" ht="15.75">
      <c r="BU4820" s="8"/>
      <c r="BZ4820" s="8"/>
      <c r="CD4820" s="8"/>
    </row>
    <row r="4821" spans="73:82" ht="15.75">
      <c r="BU4821" s="8"/>
      <c r="BZ4821" s="8"/>
      <c r="CD4821" s="8"/>
    </row>
    <row r="4822" spans="73:82" ht="15.75">
      <c r="BU4822" s="8"/>
      <c r="BZ4822" s="8"/>
      <c r="CD4822" s="8"/>
    </row>
    <row r="4823" spans="73:82" ht="15.75">
      <c r="BU4823" s="8"/>
      <c r="BZ4823" s="8"/>
      <c r="CD4823" s="8"/>
    </row>
    <row r="4824" spans="73:82" ht="15.75">
      <c r="BU4824" s="8"/>
      <c r="BZ4824" s="8"/>
      <c r="CD4824" s="8"/>
    </row>
    <row r="4825" spans="73:82" ht="15.75">
      <c r="BU4825" s="8"/>
      <c r="BZ4825" s="8"/>
      <c r="CD4825" s="8"/>
    </row>
    <row r="4826" spans="73:82" ht="15.75">
      <c r="BU4826" s="8"/>
      <c r="BZ4826" s="8"/>
      <c r="CD4826" s="8"/>
    </row>
    <row r="4827" spans="73:82" ht="15.75">
      <c r="BU4827" s="8"/>
      <c r="BZ4827" s="8"/>
      <c r="CD4827" s="8"/>
    </row>
    <row r="4828" spans="73:82" ht="15.75">
      <c r="BU4828" s="8"/>
      <c r="BZ4828" s="8"/>
      <c r="CD4828" s="8"/>
    </row>
    <row r="4829" spans="73:82" ht="15.75">
      <c r="BU4829" s="8"/>
      <c r="BZ4829" s="8"/>
      <c r="CD4829" s="8"/>
    </row>
    <row r="4830" spans="73:82" ht="15.75">
      <c r="BU4830" s="8"/>
      <c r="BZ4830" s="8"/>
      <c r="CD4830" s="8"/>
    </row>
    <row r="4831" spans="73:82" ht="15.75">
      <c r="BU4831" s="8"/>
      <c r="BZ4831" s="8"/>
      <c r="CD4831" s="8"/>
    </row>
    <row r="4832" spans="73:82" ht="15.75">
      <c r="BU4832" s="8"/>
      <c r="BZ4832" s="8"/>
      <c r="CD4832" s="8"/>
    </row>
    <row r="4833" spans="73:82" ht="15.75">
      <c r="BU4833" s="8"/>
      <c r="BZ4833" s="8"/>
      <c r="CD4833" s="8"/>
    </row>
    <row r="4834" spans="73:82" ht="15.75">
      <c r="BU4834" s="8"/>
      <c r="BZ4834" s="8"/>
      <c r="CD4834" s="8"/>
    </row>
    <row r="4835" spans="73:82" ht="15.75">
      <c r="BU4835" s="8"/>
      <c r="BZ4835" s="8"/>
      <c r="CD4835" s="8"/>
    </row>
    <row r="4836" spans="73:82" ht="15.75">
      <c r="BU4836" s="8"/>
      <c r="BZ4836" s="8"/>
      <c r="CD4836" s="8"/>
    </row>
    <row r="4837" spans="73:82" ht="15.75">
      <c r="BU4837" s="8"/>
      <c r="BZ4837" s="8"/>
      <c r="CD4837" s="8"/>
    </row>
    <row r="4838" spans="73:82" ht="15.75">
      <c r="BU4838" s="8"/>
      <c r="BZ4838" s="8"/>
      <c r="CD4838" s="8"/>
    </row>
    <row r="4839" spans="73:82" ht="15.75">
      <c r="BU4839" s="8"/>
      <c r="BZ4839" s="8"/>
      <c r="CD4839" s="8"/>
    </row>
    <row r="4840" spans="73:82" ht="15.75">
      <c r="BU4840" s="8"/>
      <c r="BZ4840" s="8"/>
      <c r="CD4840" s="8"/>
    </row>
    <row r="4841" spans="73:82" ht="15.75">
      <c r="BU4841" s="8"/>
      <c r="BZ4841" s="8"/>
      <c r="CD4841" s="8"/>
    </row>
    <row r="4842" spans="73:82" ht="15.75">
      <c r="BU4842" s="8"/>
      <c r="BZ4842" s="8"/>
      <c r="CD4842" s="8"/>
    </row>
    <row r="4843" spans="73:82" ht="15.75">
      <c r="BU4843" s="8"/>
      <c r="BZ4843" s="8"/>
      <c r="CD4843" s="8"/>
    </row>
    <row r="4844" spans="73:82" ht="15.75">
      <c r="BU4844" s="8"/>
      <c r="BZ4844" s="8"/>
      <c r="CD4844" s="8"/>
    </row>
    <row r="4845" spans="73:82" ht="15.75">
      <c r="BU4845" s="8"/>
      <c r="BZ4845" s="8"/>
      <c r="CD4845" s="8"/>
    </row>
    <row r="4846" spans="73:82" ht="15.75">
      <c r="BU4846" s="8"/>
      <c r="BZ4846" s="8"/>
      <c r="CD4846" s="8"/>
    </row>
    <row r="4847" spans="73:82" ht="15.75">
      <c r="BU4847" s="8"/>
      <c r="BZ4847" s="8"/>
      <c r="CD4847" s="8"/>
    </row>
    <row r="4848" spans="73:82" ht="15.75">
      <c r="BU4848" s="8"/>
      <c r="BZ4848" s="8"/>
      <c r="CD4848" s="8"/>
    </row>
    <row r="4849" spans="73:82" ht="15.75">
      <c r="BU4849" s="8"/>
      <c r="BZ4849" s="8"/>
      <c r="CD4849" s="8"/>
    </row>
    <row r="4850" spans="73:82" ht="15.75">
      <c r="BU4850" s="8"/>
      <c r="BZ4850" s="8"/>
      <c r="CD4850" s="8"/>
    </row>
    <row r="4851" spans="73:82" ht="15.75">
      <c r="BU4851" s="8"/>
      <c r="BZ4851" s="8"/>
      <c r="CD4851" s="8"/>
    </row>
    <row r="4852" spans="73:82" ht="15.75">
      <c r="BU4852" s="8"/>
      <c r="BZ4852" s="8"/>
      <c r="CD4852" s="8"/>
    </row>
    <row r="4853" spans="73:82" ht="15.75">
      <c r="BU4853" s="8"/>
      <c r="BZ4853" s="8"/>
      <c r="CD4853" s="8"/>
    </row>
    <row r="4854" spans="73:82" ht="15.75">
      <c r="BU4854" s="8"/>
      <c r="BZ4854" s="8"/>
      <c r="CD4854" s="8"/>
    </row>
    <row r="4855" spans="73:82" ht="15.75">
      <c r="BU4855" s="8"/>
      <c r="BZ4855" s="8"/>
      <c r="CD4855" s="8"/>
    </row>
    <row r="4856" spans="73:82" ht="15.75">
      <c r="BU4856" s="8"/>
      <c r="BZ4856" s="8"/>
      <c r="CD4856" s="8"/>
    </row>
    <row r="4857" spans="73:82" ht="15.75">
      <c r="BU4857" s="8"/>
      <c r="BZ4857" s="8"/>
      <c r="CD4857" s="8"/>
    </row>
    <row r="4858" spans="73:82" ht="15.75">
      <c r="BU4858" s="8"/>
      <c r="BZ4858" s="8"/>
      <c r="CD4858" s="8"/>
    </row>
    <row r="4859" spans="73:82" ht="15.75">
      <c r="BU4859" s="8"/>
      <c r="BZ4859" s="8"/>
      <c r="CD4859" s="8"/>
    </row>
    <row r="4860" spans="73:82" ht="15.75">
      <c r="BU4860" s="8"/>
      <c r="BZ4860" s="8"/>
      <c r="CD4860" s="8"/>
    </row>
    <row r="4861" spans="73:82" ht="15.75">
      <c r="BU4861" s="8"/>
      <c r="BZ4861" s="8"/>
      <c r="CD4861" s="8"/>
    </row>
    <row r="4862" spans="73:82" ht="15.75">
      <c r="BU4862" s="8"/>
      <c r="BZ4862" s="8"/>
      <c r="CD4862" s="8"/>
    </row>
    <row r="4863" spans="73:82" ht="15.75">
      <c r="BU4863" s="8"/>
      <c r="BZ4863" s="8"/>
      <c r="CD4863" s="8"/>
    </row>
    <row r="4864" spans="73:82" ht="15.75">
      <c r="BU4864" s="8"/>
      <c r="BZ4864" s="8"/>
      <c r="CD4864" s="8"/>
    </row>
    <row r="4865" spans="73:82" ht="15.75">
      <c r="BU4865" s="8"/>
      <c r="BZ4865" s="8"/>
      <c r="CD4865" s="8"/>
    </row>
    <row r="4866" spans="73:82" ht="15.75">
      <c r="BU4866" s="8"/>
      <c r="BZ4866" s="8"/>
      <c r="CD4866" s="8"/>
    </row>
    <row r="4867" spans="73:82" ht="15.75">
      <c r="BU4867" s="8"/>
      <c r="BZ4867" s="8"/>
      <c r="CD4867" s="8"/>
    </row>
    <row r="4868" spans="73:82" ht="15.75">
      <c r="BU4868" s="8"/>
      <c r="BZ4868" s="8"/>
      <c r="CD4868" s="8"/>
    </row>
    <row r="4869" spans="73:82" ht="15.75">
      <c r="BU4869" s="8"/>
      <c r="BZ4869" s="8"/>
      <c r="CD4869" s="8"/>
    </row>
    <row r="4870" spans="73:82" ht="15.75">
      <c r="BU4870" s="8"/>
      <c r="BZ4870" s="8"/>
      <c r="CD4870" s="8"/>
    </row>
    <row r="4871" spans="73:82" ht="15.75">
      <c r="BU4871" s="8"/>
      <c r="BZ4871" s="8"/>
      <c r="CD4871" s="8"/>
    </row>
    <row r="4872" spans="73:82" ht="15.75">
      <c r="BU4872" s="8"/>
      <c r="BZ4872" s="8"/>
      <c r="CD4872" s="8"/>
    </row>
    <row r="4873" spans="73:82" ht="15.75">
      <c r="BU4873" s="8"/>
      <c r="BZ4873" s="8"/>
      <c r="CD4873" s="8"/>
    </row>
    <row r="4874" spans="73:82" ht="15.75">
      <c r="BU4874" s="8"/>
      <c r="BZ4874" s="8"/>
      <c r="CD4874" s="8"/>
    </row>
    <row r="4875" spans="73:82" ht="15.75">
      <c r="BU4875" s="8"/>
      <c r="BZ4875" s="8"/>
      <c r="CD4875" s="8"/>
    </row>
    <row r="4876" spans="73:82" ht="15.75">
      <c r="BU4876" s="8"/>
      <c r="BZ4876" s="8"/>
      <c r="CD4876" s="8"/>
    </row>
    <row r="4877" spans="73:82" ht="15.75">
      <c r="BU4877" s="8"/>
      <c r="BZ4877" s="8"/>
      <c r="CD4877" s="8"/>
    </row>
    <row r="4878" spans="73:82" ht="15.75">
      <c r="BU4878" s="8"/>
      <c r="BZ4878" s="8"/>
      <c r="CD4878" s="8"/>
    </row>
    <row r="4879" spans="73:82" ht="15.75">
      <c r="BU4879" s="8"/>
      <c r="BZ4879" s="8"/>
      <c r="CD4879" s="8"/>
    </row>
    <row r="4880" spans="73:82" ht="15.75">
      <c r="BU4880" s="8"/>
      <c r="BZ4880" s="8"/>
      <c r="CD4880" s="8"/>
    </row>
    <row r="4881" spans="73:82" ht="15.75">
      <c r="BU4881" s="8"/>
      <c r="BZ4881" s="8"/>
      <c r="CD4881" s="8"/>
    </row>
    <row r="4882" spans="73:82" ht="15.75">
      <c r="BU4882" s="8"/>
      <c r="BZ4882" s="8"/>
      <c r="CD4882" s="8"/>
    </row>
    <row r="4883" spans="73:82" ht="15.75">
      <c r="BU4883" s="8"/>
      <c r="BZ4883" s="8"/>
      <c r="CD4883" s="8"/>
    </row>
    <row r="4884" spans="73:82" ht="15.75">
      <c r="BU4884" s="8"/>
      <c r="BZ4884" s="8"/>
      <c r="CD4884" s="8"/>
    </row>
    <row r="4885" spans="73:82" ht="15.75">
      <c r="BU4885" s="8"/>
      <c r="BZ4885" s="8"/>
      <c r="CD4885" s="8"/>
    </row>
    <row r="4886" spans="73:82" ht="15.75">
      <c r="BU4886" s="8"/>
      <c r="BZ4886" s="8"/>
      <c r="CD4886" s="8"/>
    </row>
    <row r="4887" spans="73:82" ht="15.75">
      <c r="BU4887" s="8"/>
      <c r="BZ4887" s="8"/>
      <c r="CD4887" s="8"/>
    </row>
    <row r="4888" spans="73:82" ht="15.75">
      <c r="BU4888" s="8"/>
      <c r="BZ4888" s="8"/>
      <c r="CD4888" s="8"/>
    </row>
    <row r="4889" spans="73:82" ht="15.75">
      <c r="BU4889" s="8"/>
      <c r="BZ4889" s="8"/>
      <c r="CD4889" s="8"/>
    </row>
    <row r="4890" spans="73:82" ht="15.75">
      <c r="BU4890" s="8"/>
      <c r="BZ4890" s="8"/>
      <c r="CD4890" s="8"/>
    </row>
    <row r="4891" spans="73:82" ht="15.75">
      <c r="BU4891" s="8"/>
      <c r="BZ4891" s="8"/>
      <c r="CD4891" s="8"/>
    </row>
    <row r="4892" spans="73:82" ht="15.75">
      <c r="BU4892" s="8"/>
      <c r="BZ4892" s="8"/>
      <c r="CD4892" s="8"/>
    </row>
    <row r="4893" spans="73:82" ht="15.75">
      <c r="BU4893" s="8"/>
      <c r="BZ4893" s="8"/>
      <c r="CD4893" s="8"/>
    </row>
    <row r="4894" spans="73:82" ht="15.75">
      <c r="BU4894" s="8"/>
      <c r="BZ4894" s="8"/>
      <c r="CD4894" s="8"/>
    </row>
    <row r="4895" spans="73:82" ht="15.75">
      <c r="BU4895" s="8"/>
      <c r="BZ4895" s="8"/>
      <c r="CD4895" s="8"/>
    </row>
    <row r="4896" spans="73:82" ht="15.75">
      <c r="BU4896" s="8"/>
      <c r="BZ4896" s="8"/>
      <c r="CD4896" s="8"/>
    </row>
    <row r="4897" spans="73:82" ht="15.75">
      <c r="BU4897" s="8"/>
      <c r="BZ4897" s="8"/>
      <c r="CD4897" s="8"/>
    </row>
    <row r="4898" spans="73:82" ht="15.75">
      <c r="BU4898" s="8"/>
      <c r="BZ4898" s="8"/>
      <c r="CD4898" s="8"/>
    </row>
    <row r="4899" spans="73:82" ht="15.75">
      <c r="BU4899" s="8"/>
      <c r="BZ4899" s="8"/>
      <c r="CD4899" s="8"/>
    </row>
    <row r="4900" spans="73:82" ht="15.75">
      <c r="BU4900" s="8"/>
      <c r="BZ4900" s="8"/>
      <c r="CD4900" s="8"/>
    </row>
    <row r="4901" spans="73:82" ht="15.75">
      <c r="BU4901" s="8"/>
      <c r="BZ4901" s="8"/>
      <c r="CD4901" s="8"/>
    </row>
    <row r="4902" spans="73:82" ht="15.75">
      <c r="BU4902" s="8"/>
      <c r="BZ4902" s="8"/>
      <c r="CD4902" s="8"/>
    </row>
    <row r="4903" spans="73:82" ht="15.75">
      <c r="BU4903" s="8"/>
      <c r="BZ4903" s="8"/>
      <c r="CD4903" s="8"/>
    </row>
    <row r="4904" spans="73:82" ht="15.75">
      <c r="BU4904" s="8"/>
      <c r="BZ4904" s="8"/>
      <c r="CD4904" s="8"/>
    </row>
    <row r="4905" spans="73:82" ht="15.75">
      <c r="BU4905" s="8"/>
      <c r="BZ4905" s="8"/>
      <c r="CD4905" s="8"/>
    </row>
    <row r="4906" spans="73:82" ht="15.75">
      <c r="BU4906" s="8"/>
      <c r="BZ4906" s="8"/>
      <c r="CD4906" s="8"/>
    </row>
    <row r="4907" spans="73:82" ht="15.75">
      <c r="BU4907" s="8"/>
      <c r="BZ4907" s="8"/>
      <c r="CD4907" s="8"/>
    </row>
    <row r="4908" spans="73:82" ht="15.75">
      <c r="BU4908" s="8"/>
      <c r="BZ4908" s="8"/>
      <c r="CD4908" s="8"/>
    </row>
    <row r="4909" spans="73:82" ht="15.75">
      <c r="BU4909" s="8"/>
      <c r="BZ4909" s="8"/>
      <c r="CD4909" s="8"/>
    </row>
    <row r="4910" spans="73:82" ht="15.75">
      <c r="BU4910" s="8"/>
      <c r="BZ4910" s="8"/>
      <c r="CD4910" s="8"/>
    </row>
    <row r="4911" spans="73:82" ht="15.75">
      <c r="BU4911" s="8"/>
      <c r="BZ4911" s="8"/>
      <c r="CD4911" s="8"/>
    </row>
    <row r="4912" spans="73:82" ht="15.75">
      <c r="BU4912" s="8"/>
      <c r="BZ4912" s="8"/>
      <c r="CD4912" s="8"/>
    </row>
    <row r="4913" spans="73:82" ht="15.75">
      <c r="BU4913" s="8"/>
      <c r="BZ4913" s="8"/>
      <c r="CD4913" s="8"/>
    </row>
    <row r="4914" spans="73:82" ht="15.75">
      <c r="BU4914" s="8"/>
      <c r="BZ4914" s="8"/>
      <c r="CD4914" s="8"/>
    </row>
    <row r="4915" spans="73:82" ht="15.75">
      <c r="BU4915" s="8"/>
      <c r="BZ4915" s="8"/>
      <c r="CD4915" s="8"/>
    </row>
    <row r="4916" spans="73:82" ht="15.75">
      <c r="BU4916" s="8"/>
      <c r="BZ4916" s="8"/>
      <c r="CD4916" s="8"/>
    </row>
    <row r="4917" spans="73:82" ht="15.75">
      <c r="BU4917" s="8"/>
      <c r="BZ4917" s="8"/>
      <c r="CD4917" s="8"/>
    </row>
    <row r="4918" spans="73:82" ht="15.75">
      <c r="BU4918" s="8"/>
      <c r="BZ4918" s="8"/>
      <c r="CD4918" s="8"/>
    </row>
    <row r="4919" spans="73:82" ht="15.75">
      <c r="BU4919" s="8"/>
      <c r="BZ4919" s="8"/>
      <c r="CD4919" s="8"/>
    </row>
    <row r="4920" spans="73:82" ht="15.75">
      <c r="BU4920" s="8"/>
      <c r="BZ4920" s="8"/>
      <c r="CD4920" s="8"/>
    </row>
    <row r="4921" spans="73:82" ht="15.75">
      <c r="BU4921" s="8"/>
      <c r="BZ4921" s="8"/>
      <c r="CD4921" s="8"/>
    </row>
    <row r="4922" spans="73:82" ht="15.75">
      <c r="BU4922" s="8"/>
      <c r="BZ4922" s="8"/>
      <c r="CD4922" s="8"/>
    </row>
    <row r="4923" spans="73:82" ht="15.75">
      <c r="BU4923" s="8"/>
      <c r="BZ4923" s="8"/>
      <c r="CD4923" s="8"/>
    </row>
    <row r="4924" spans="73:82" ht="15.75">
      <c r="BU4924" s="8"/>
      <c r="BZ4924" s="8"/>
      <c r="CD4924" s="8"/>
    </row>
    <row r="4925" spans="73:82" ht="15.75">
      <c r="BU4925" s="8"/>
      <c r="BZ4925" s="8"/>
      <c r="CD4925" s="8"/>
    </row>
    <row r="4926" spans="73:82" ht="15.75">
      <c r="BU4926" s="8"/>
      <c r="BZ4926" s="8"/>
      <c r="CD4926" s="8"/>
    </row>
    <row r="4927" spans="73:82" ht="15.75">
      <c r="BU4927" s="8"/>
      <c r="BZ4927" s="8"/>
      <c r="CD4927" s="8"/>
    </row>
    <row r="4928" spans="73:82" ht="15.75">
      <c r="BU4928" s="8"/>
      <c r="BZ4928" s="8"/>
      <c r="CD4928" s="8"/>
    </row>
    <row r="4929" spans="73:82" ht="15.75">
      <c r="BU4929" s="8"/>
      <c r="BZ4929" s="8"/>
      <c r="CD4929" s="8"/>
    </row>
    <row r="4930" spans="73:82" ht="15.75">
      <c r="BU4930" s="8"/>
      <c r="BZ4930" s="8"/>
      <c r="CD4930" s="8"/>
    </row>
    <row r="4931" spans="73:82" ht="15.75">
      <c r="BU4931" s="8"/>
      <c r="BZ4931" s="8"/>
      <c r="CD4931" s="8"/>
    </row>
    <row r="4932" spans="73:82" ht="15.75">
      <c r="BU4932" s="8"/>
      <c r="BZ4932" s="8"/>
      <c r="CD4932" s="8"/>
    </row>
    <row r="4933" spans="73:82" ht="15.75">
      <c r="BU4933" s="8"/>
      <c r="BZ4933" s="8"/>
      <c r="CD4933" s="8"/>
    </row>
    <row r="4934" spans="73:82" ht="15.75">
      <c r="BU4934" s="8"/>
      <c r="BZ4934" s="8"/>
      <c r="CD4934" s="8"/>
    </row>
    <row r="4935" spans="73:82" ht="15.75">
      <c r="BU4935" s="8"/>
      <c r="BZ4935" s="8"/>
      <c r="CD4935" s="8"/>
    </row>
    <row r="4936" spans="73:82" ht="15.75">
      <c r="BU4936" s="8"/>
      <c r="BZ4936" s="8"/>
      <c r="CD4936" s="8"/>
    </row>
    <row r="4937" spans="73:82" ht="15.75">
      <c r="BU4937" s="8"/>
      <c r="BZ4937" s="8"/>
      <c r="CD4937" s="8"/>
    </row>
    <row r="4938" spans="73:82" ht="15.75">
      <c r="BU4938" s="8"/>
      <c r="BZ4938" s="8"/>
      <c r="CD4938" s="8"/>
    </row>
    <row r="4939" spans="73:82" ht="15.75">
      <c r="BU4939" s="8"/>
      <c r="BZ4939" s="8"/>
      <c r="CD4939" s="8"/>
    </row>
    <row r="4940" spans="73:82" ht="15.75">
      <c r="BU4940" s="8"/>
      <c r="BZ4940" s="8"/>
      <c r="CD4940" s="8"/>
    </row>
    <row r="4941" spans="73:82" ht="15.75">
      <c r="BU4941" s="8"/>
      <c r="BZ4941" s="8"/>
      <c r="CD4941" s="8"/>
    </row>
    <row r="4942" spans="73:82" ht="15.75">
      <c r="BU4942" s="8"/>
      <c r="BZ4942" s="8"/>
      <c r="CD4942" s="8"/>
    </row>
    <row r="4943" spans="73:82" ht="15.75">
      <c r="BU4943" s="8"/>
      <c r="BZ4943" s="8"/>
      <c r="CD4943" s="8"/>
    </row>
    <row r="4944" spans="73:82" ht="15.75">
      <c r="BU4944" s="8"/>
      <c r="BZ4944" s="8"/>
      <c r="CD4944" s="8"/>
    </row>
    <row r="4945" spans="73:82" ht="15.75">
      <c r="BU4945" s="8"/>
      <c r="BZ4945" s="8"/>
      <c r="CD4945" s="8"/>
    </row>
    <row r="4946" spans="73:82" ht="15.75">
      <c r="BU4946" s="8"/>
      <c r="BZ4946" s="8"/>
      <c r="CD4946" s="8"/>
    </row>
    <row r="4947" spans="73:82" ht="15.75">
      <c r="BU4947" s="8"/>
      <c r="BZ4947" s="8"/>
      <c r="CD4947" s="8"/>
    </row>
    <row r="4948" spans="73:82" ht="15.75">
      <c r="BU4948" s="8"/>
      <c r="BZ4948" s="8"/>
      <c r="CD4948" s="8"/>
    </row>
    <row r="4949" spans="73:82" ht="15.75">
      <c r="BU4949" s="8"/>
      <c r="BZ4949" s="8"/>
      <c r="CD4949" s="8"/>
    </row>
    <row r="4950" spans="73:82" ht="15.75">
      <c r="BU4950" s="8"/>
      <c r="BZ4950" s="8"/>
      <c r="CD4950" s="8"/>
    </row>
    <row r="4951" spans="73:82" ht="15.75">
      <c r="BU4951" s="8"/>
      <c r="BZ4951" s="8"/>
      <c r="CD4951" s="8"/>
    </row>
    <row r="4952" spans="73:82" ht="15.75">
      <c r="BU4952" s="8"/>
      <c r="BZ4952" s="8"/>
      <c r="CD4952" s="8"/>
    </row>
    <row r="4953" spans="73:82" ht="15.75">
      <c r="BU4953" s="8"/>
      <c r="BZ4953" s="8"/>
      <c r="CD4953" s="8"/>
    </row>
    <row r="4954" spans="73:82" ht="15.75">
      <c r="BU4954" s="8"/>
      <c r="BZ4954" s="8"/>
      <c r="CD4954" s="8"/>
    </row>
    <row r="4955" spans="73:82" ht="15.75">
      <c r="BU4955" s="8"/>
      <c r="BZ4955" s="8"/>
      <c r="CD4955" s="8"/>
    </row>
    <row r="4956" spans="73:82" ht="15.75">
      <c r="BU4956" s="8"/>
      <c r="BZ4956" s="8"/>
      <c r="CD4956" s="8"/>
    </row>
    <row r="4957" spans="73:82" ht="15.75">
      <c r="BU4957" s="8"/>
      <c r="BZ4957" s="8"/>
      <c r="CD4957" s="8"/>
    </row>
    <row r="4958" spans="73:82" ht="15.75">
      <c r="BU4958" s="8"/>
      <c r="BZ4958" s="8"/>
      <c r="CD4958" s="8"/>
    </row>
    <row r="4959" spans="73:82" ht="15.75">
      <c r="BU4959" s="8"/>
      <c r="BZ4959" s="8"/>
      <c r="CD4959" s="8"/>
    </row>
    <row r="4960" spans="73:82" ht="15.75">
      <c r="BU4960" s="8"/>
      <c r="BZ4960" s="8"/>
      <c r="CD4960" s="8"/>
    </row>
    <row r="4961" spans="73:82" ht="15.75">
      <c r="BU4961" s="8"/>
      <c r="BZ4961" s="8"/>
      <c r="CD4961" s="8"/>
    </row>
    <row r="4962" spans="73:82" ht="15.75">
      <c r="BU4962" s="8"/>
      <c r="BZ4962" s="8"/>
      <c r="CD4962" s="8"/>
    </row>
    <row r="4963" spans="73:82" ht="15.75">
      <c r="BU4963" s="8"/>
      <c r="BZ4963" s="8"/>
      <c r="CD4963" s="8"/>
    </row>
    <row r="4964" spans="73:82" ht="15.75">
      <c r="BU4964" s="8"/>
      <c r="BZ4964" s="8"/>
      <c r="CD4964" s="8"/>
    </row>
    <row r="4965" spans="73:82" ht="15.75">
      <c r="BU4965" s="8"/>
      <c r="BZ4965" s="8"/>
      <c r="CD4965" s="8"/>
    </row>
    <row r="4966" spans="73:82" ht="15.75">
      <c r="BU4966" s="8"/>
      <c r="BZ4966" s="8"/>
      <c r="CD4966" s="8"/>
    </row>
    <row r="4967" spans="73:82" ht="15.75">
      <c r="BU4967" s="8"/>
      <c r="BZ4967" s="8"/>
      <c r="CD4967" s="8"/>
    </row>
    <row r="4968" spans="73:82" ht="15.75">
      <c r="BU4968" s="8"/>
      <c r="BZ4968" s="8"/>
      <c r="CD4968" s="8"/>
    </row>
    <row r="4969" spans="73:82" ht="15.75">
      <c r="BU4969" s="8"/>
      <c r="BZ4969" s="8"/>
      <c r="CD4969" s="8"/>
    </row>
    <row r="4970" spans="73:82" ht="15.75">
      <c r="BU4970" s="8"/>
      <c r="BZ4970" s="8"/>
      <c r="CD4970" s="8"/>
    </row>
    <row r="4971" spans="73:82" ht="15.75">
      <c r="BU4971" s="8"/>
      <c r="BZ4971" s="8"/>
      <c r="CD4971" s="8"/>
    </row>
    <row r="4972" spans="73:82" ht="15.75">
      <c r="BU4972" s="8"/>
      <c r="BZ4972" s="8"/>
      <c r="CD4972" s="8"/>
    </row>
    <row r="4973" spans="73:82" ht="15.75">
      <c r="BU4973" s="8"/>
      <c r="BZ4973" s="8"/>
      <c r="CD4973" s="8"/>
    </row>
    <row r="4974" spans="73:82" ht="15.75">
      <c r="BU4974" s="8"/>
      <c r="BZ4974" s="8"/>
      <c r="CD4974" s="8"/>
    </row>
    <row r="4975" spans="73:82" ht="15.75">
      <c r="BU4975" s="8"/>
      <c r="BZ4975" s="8"/>
      <c r="CD4975" s="8"/>
    </row>
    <row r="4976" spans="73:82" ht="15.75">
      <c r="BU4976" s="8"/>
      <c r="BZ4976" s="8"/>
      <c r="CD4976" s="8"/>
    </row>
    <row r="4977" spans="73:82" ht="15.75">
      <c r="BU4977" s="8"/>
      <c r="BZ4977" s="8"/>
      <c r="CD4977" s="8"/>
    </row>
    <row r="4978" spans="73:82" ht="15.75">
      <c r="BU4978" s="8"/>
      <c r="BZ4978" s="8"/>
      <c r="CD4978" s="8"/>
    </row>
    <row r="4979" spans="73:82" ht="15.75">
      <c r="BU4979" s="8"/>
      <c r="BZ4979" s="8"/>
      <c r="CD4979" s="8"/>
    </row>
    <row r="4980" spans="73:82" ht="15.75">
      <c r="BU4980" s="8"/>
      <c r="BZ4980" s="8"/>
      <c r="CD4980" s="8"/>
    </row>
    <row r="4981" spans="73:82" ht="15.75">
      <c r="BU4981" s="8"/>
      <c r="BZ4981" s="8"/>
      <c r="CD4981" s="8"/>
    </row>
    <row r="4982" spans="73:82" ht="15.75">
      <c r="BU4982" s="8"/>
      <c r="BZ4982" s="8"/>
      <c r="CD4982" s="8"/>
    </row>
    <row r="4983" spans="73:82" ht="15.75">
      <c r="BU4983" s="8"/>
      <c r="BZ4983" s="8"/>
      <c r="CD4983" s="8"/>
    </row>
    <row r="4984" spans="73:82" ht="15.75">
      <c r="BU4984" s="8"/>
      <c r="BZ4984" s="8"/>
      <c r="CD4984" s="8"/>
    </row>
    <row r="4985" spans="73:82" ht="15.75">
      <c r="BU4985" s="8"/>
      <c r="BZ4985" s="8"/>
      <c r="CD4985" s="8"/>
    </row>
    <row r="4986" spans="73:82" ht="15.75">
      <c r="BU4986" s="8"/>
      <c r="BZ4986" s="8"/>
      <c r="CD4986" s="8"/>
    </row>
    <row r="4987" spans="73:82" ht="15.75">
      <c r="BU4987" s="8"/>
      <c r="BZ4987" s="8"/>
      <c r="CD4987" s="8"/>
    </row>
    <row r="4988" spans="73:82" ht="15.75">
      <c r="BU4988" s="8"/>
      <c r="BZ4988" s="8"/>
      <c r="CD4988" s="8"/>
    </row>
    <row r="4989" spans="73:82" ht="15.75">
      <c r="BU4989" s="8"/>
      <c r="BZ4989" s="8"/>
      <c r="CD4989" s="8"/>
    </row>
    <row r="4990" spans="73:82" ht="15.75">
      <c r="BU4990" s="8"/>
      <c r="BZ4990" s="8"/>
      <c r="CD4990" s="8"/>
    </row>
    <row r="4991" spans="73:82" ht="15.75">
      <c r="BU4991" s="8"/>
      <c r="BZ4991" s="8"/>
      <c r="CD4991" s="8"/>
    </row>
    <row r="4992" spans="73:82" ht="15.75">
      <c r="BU4992" s="8"/>
      <c r="BZ4992" s="8"/>
      <c r="CD4992" s="8"/>
    </row>
    <row r="4993" spans="73:82" ht="15.75">
      <c r="BU4993" s="8"/>
      <c r="BZ4993" s="8"/>
      <c r="CD4993" s="8"/>
    </row>
    <row r="4994" spans="73:82" ht="15.75">
      <c r="BU4994" s="8"/>
      <c r="BZ4994" s="8"/>
      <c r="CD4994" s="8"/>
    </row>
    <row r="4995" spans="73:82" ht="15.75">
      <c r="BU4995" s="8"/>
      <c r="BZ4995" s="8"/>
      <c r="CD4995" s="8"/>
    </row>
    <row r="4996" spans="73:82" ht="15.75">
      <c r="BU4996" s="8"/>
      <c r="BZ4996" s="8"/>
      <c r="CD4996" s="8"/>
    </row>
    <row r="4997" spans="73:82" ht="15.75">
      <c r="BU4997" s="8"/>
      <c r="BZ4997" s="8"/>
      <c r="CD4997" s="8"/>
    </row>
    <row r="4998" spans="73:82" ht="15.75">
      <c r="BU4998" s="8"/>
      <c r="BZ4998" s="8"/>
      <c r="CD4998" s="8"/>
    </row>
    <row r="4999" spans="73:82" ht="15.75">
      <c r="BU4999" s="8"/>
      <c r="BZ4999" s="8"/>
      <c r="CD4999" s="8"/>
    </row>
    <row r="5000" spans="73:82" ht="15.75">
      <c r="BU5000" s="8"/>
      <c r="BZ5000" s="8"/>
      <c r="CD5000" s="8"/>
    </row>
    <row r="5001" spans="73:82" ht="15.75">
      <c r="BU5001" s="8"/>
      <c r="BZ5001" s="8"/>
      <c r="CD5001" s="8"/>
    </row>
    <row r="5002" spans="73:82" ht="15.75">
      <c r="BU5002" s="8"/>
      <c r="BZ5002" s="8"/>
      <c r="CD5002" s="8"/>
    </row>
    <row r="5003" spans="73:82" ht="15.75">
      <c r="BU5003" s="8"/>
      <c r="BZ5003" s="8"/>
      <c r="CD5003" s="8"/>
    </row>
    <row r="5004" spans="73:82" ht="15.75">
      <c r="BU5004" s="8"/>
      <c r="BZ5004" s="8"/>
      <c r="CD5004" s="8"/>
    </row>
    <row r="5005" spans="73:82" ht="15.75">
      <c r="BU5005" s="8"/>
      <c r="BZ5005" s="8"/>
      <c r="CD5005" s="8"/>
    </row>
    <row r="5006" spans="73:82" ht="15.75">
      <c r="BU5006" s="8"/>
      <c r="BZ5006" s="8"/>
      <c r="CD5006" s="8"/>
    </row>
    <row r="5007" spans="73:82" ht="15.75">
      <c r="BU5007" s="8"/>
      <c r="BZ5007" s="8"/>
      <c r="CD5007" s="8"/>
    </row>
    <row r="5008" spans="73:82" ht="15.75">
      <c r="BU5008" s="8"/>
      <c r="BZ5008" s="8"/>
      <c r="CD5008" s="8"/>
    </row>
    <row r="5009" spans="73:82" ht="15.75">
      <c r="BU5009" s="8"/>
      <c r="BZ5009" s="8"/>
      <c r="CD5009" s="8"/>
    </row>
    <row r="5010" spans="73:82" ht="15.75">
      <c r="BU5010" s="8"/>
      <c r="BZ5010" s="8"/>
      <c r="CD5010" s="8"/>
    </row>
    <row r="5011" spans="73:82" ht="15.75">
      <c r="BU5011" s="8"/>
      <c r="BZ5011" s="8"/>
      <c r="CD5011" s="8"/>
    </row>
    <row r="5012" spans="73:82" ht="15.75">
      <c r="BU5012" s="8"/>
      <c r="BZ5012" s="8"/>
      <c r="CD5012" s="8"/>
    </row>
    <row r="5013" spans="73:82" ht="15.75">
      <c r="BU5013" s="8"/>
      <c r="BZ5013" s="8"/>
      <c r="CD5013" s="8"/>
    </row>
    <row r="5014" spans="73:82" ht="15.75">
      <c r="BU5014" s="8"/>
      <c r="BZ5014" s="8"/>
      <c r="CD5014" s="8"/>
    </row>
    <row r="5015" spans="73:82" ht="15.75">
      <c r="BU5015" s="8"/>
      <c r="BZ5015" s="8"/>
      <c r="CD5015" s="8"/>
    </row>
    <row r="5016" spans="73:82" ht="15.75">
      <c r="BU5016" s="8"/>
      <c r="BZ5016" s="8"/>
      <c r="CD5016" s="8"/>
    </row>
    <row r="5017" spans="73:82" ht="15.75">
      <c r="BU5017" s="8"/>
      <c r="BZ5017" s="8"/>
      <c r="CD5017" s="8"/>
    </row>
    <row r="5018" spans="73:82" ht="15.75">
      <c r="BU5018" s="8"/>
      <c r="BZ5018" s="8"/>
      <c r="CD5018" s="8"/>
    </row>
    <row r="5019" spans="73:82" ht="15.75">
      <c r="BU5019" s="8"/>
      <c r="BZ5019" s="8"/>
      <c r="CD5019" s="8"/>
    </row>
    <row r="5020" spans="73:82" ht="15.75">
      <c r="BU5020" s="8"/>
      <c r="BZ5020" s="8"/>
      <c r="CD5020" s="8"/>
    </row>
    <row r="5021" spans="73:82" ht="15.75">
      <c r="BU5021" s="8"/>
      <c r="BZ5021" s="8"/>
      <c r="CD5021" s="8"/>
    </row>
    <row r="5022" spans="73:82" ht="15.75">
      <c r="BU5022" s="8"/>
      <c r="BZ5022" s="8"/>
      <c r="CD5022" s="8"/>
    </row>
    <row r="5023" spans="73:82" ht="15.75">
      <c r="BU5023" s="8"/>
      <c r="BZ5023" s="8"/>
      <c r="CD5023" s="8"/>
    </row>
    <row r="5024" spans="73:82" ht="15.75">
      <c r="BU5024" s="8"/>
      <c r="BZ5024" s="8"/>
      <c r="CD5024" s="8"/>
    </row>
    <row r="5025" spans="73:82" ht="15.75">
      <c r="BU5025" s="8"/>
      <c r="BZ5025" s="8"/>
      <c r="CD5025" s="8"/>
    </row>
    <row r="5026" spans="73:82" ht="15.75">
      <c r="BU5026" s="8"/>
      <c r="BZ5026" s="8"/>
      <c r="CD5026" s="8"/>
    </row>
    <row r="5027" spans="73:82" ht="15.75">
      <c r="BU5027" s="8"/>
      <c r="BZ5027" s="8"/>
      <c r="CD5027" s="8"/>
    </row>
    <row r="5028" spans="73:82" ht="15.75">
      <c r="BU5028" s="8"/>
      <c r="BZ5028" s="8"/>
      <c r="CD5028" s="8"/>
    </row>
    <row r="5029" spans="73:82" ht="15.75">
      <c r="BU5029" s="8"/>
      <c r="BZ5029" s="8"/>
      <c r="CD5029" s="8"/>
    </row>
    <row r="5030" spans="73:82" ht="15.75">
      <c r="BU5030" s="8"/>
      <c r="BZ5030" s="8"/>
      <c r="CD5030" s="8"/>
    </row>
    <row r="5031" spans="73:82" ht="15.75">
      <c r="BU5031" s="8"/>
      <c r="BZ5031" s="8"/>
      <c r="CD5031" s="8"/>
    </row>
    <row r="5032" spans="73:82" ht="15.75">
      <c r="BU5032" s="8"/>
      <c r="BZ5032" s="8"/>
      <c r="CD5032" s="8"/>
    </row>
    <row r="5033" spans="73:82" ht="15.75">
      <c r="BU5033" s="8"/>
      <c r="BZ5033" s="8"/>
      <c r="CD5033" s="8"/>
    </row>
    <row r="5034" spans="73:82" ht="15.75">
      <c r="BU5034" s="8"/>
      <c r="BZ5034" s="8"/>
      <c r="CD5034" s="8"/>
    </row>
    <row r="5035" spans="73:82" ht="15.75">
      <c r="BU5035" s="8"/>
      <c r="BZ5035" s="8"/>
      <c r="CD5035" s="8"/>
    </row>
    <row r="5036" spans="73:82" ht="15.75">
      <c r="BU5036" s="8"/>
      <c r="BZ5036" s="8"/>
      <c r="CD5036" s="8"/>
    </row>
    <row r="5037" spans="73:82" ht="15.75">
      <c r="BU5037" s="8"/>
      <c r="BZ5037" s="8"/>
      <c r="CD5037" s="8"/>
    </row>
    <row r="5038" spans="73:82" ht="15.75">
      <c r="BU5038" s="8"/>
      <c r="BZ5038" s="8"/>
      <c r="CD5038" s="8"/>
    </row>
    <row r="5039" spans="73:82" ht="15.75">
      <c r="BU5039" s="8"/>
      <c r="BZ5039" s="8"/>
      <c r="CD5039" s="8"/>
    </row>
    <row r="5040" spans="73:82" ht="15.75">
      <c r="BU5040" s="8"/>
      <c r="BZ5040" s="8"/>
      <c r="CD5040" s="8"/>
    </row>
    <row r="5041" spans="73:82" ht="15.75">
      <c r="BU5041" s="8"/>
      <c r="BZ5041" s="8"/>
      <c r="CD5041" s="8"/>
    </row>
    <row r="5042" spans="73:82" ht="15.75">
      <c r="BU5042" s="8"/>
      <c r="BZ5042" s="8"/>
      <c r="CD5042" s="8"/>
    </row>
    <row r="5043" spans="73:82" ht="15.75">
      <c r="BU5043" s="8"/>
      <c r="BZ5043" s="8"/>
      <c r="CD5043" s="8"/>
    </row>
    <row r="5044" spans="73:82" ht="15.75">
      <c r="BU5044" s="8"/>
      <c r="BZ5044" s="8"/>
      <c r="CD5044" s="8"/>
    </row>
    <row r="5045" spans="73:82" ht="15.75">
      <c r="BU5045" s="8"/>
      <c r="BZ5045" s="8"/>
      <c r="CD5045" s="8"/>
    </row>
    <row r="5046" spans="73:82" ht="15.75">
      <c r="BU5046" s="8"/>
      <c r="BZ5046" s="8"/>
      <c r="CD5046" s="8"/>
    </row>
    <row r="5047" spans="73:82" ht="15.75">
      <c r="BU5047" s="8"/>
      <c r="BZ5047" s="8"/>
      <c r="CD5047" s="8"/>
    </row>
    <row r="5048" spans="73:82" ht="15.75">
      <c r="BU5048" s="8"/>
      <c r="BZ5048" s="8"/>
      <c r="CD5048" s="8"/>
    </row>
    <row r="5049" spans="73:82" ht="15.75">
      <c r="BU5049" s="8"/>
      <c r="BZ5049" s="8"/>
      <c r="CD5049" s="8"/>
    </row>
    <row r="5050" spans="73:82" ht="15.75">
      <c r="BU5050" s="8"/>
      <c r="BZ5050" s="8"/>
      <c r="CD5050" s="8"/>
    </row>
    <row r="5051" spans="73:82" ht="15.75">
      <c r="BU5051" s="8"/>
      <c r="BZ5051" s="8"/>
      <c r="CD5051" s="8"/>
    </row>
    <row r="5052" spans="73:82" ht="15.75">
      <c r="BU5052" s="8"/>
      <c r="BZ5052" s="8"/>
      <c r="CD5052" s="8"/>
    </row>
    <row r="5053" spans="73:82" ht="15.75">
      <c r="BU5053" s="8"/>
      <c r="BZ5053" s="8"/>
      <c r="CD5053" s="8"/>
    </row>
    <row r="5054" spans="73:82" ht="15.75">
      <c r="BU5054" s="8"/>
      <c r="BZ5054" s="8"/>
      <c r="CD5054" s="8"/>
    </row>
    <row r="5055" spans="73:82" ht="15.75">
      <c r="BU5055" s="8"/>
      <c r="BZ5055" s="8"/>
      <c r="CD5055" s="8"/>
    </row>
    <row r="5056" spans="73:82" ht="15.75">
      <c r="BU5056" s="8"/>
      <c r="BZ5056" s="8"/>
      <c r="CD5056" s="8"/>
    </row>
    <row r="5057" spans="73:82" ht="15.75">
      <c r="BU5057" s="8"/>
      <c r="BZ5057" s="8"/>
      <c r="CD5057" s="8"/>
    </row>
    <row r="5058" spans="73:82" ht="15.75">
      <c r="BU5058" s="8"/>
      <c r="BZ5058" s="8"/>
      <c r="CD5058" s="8"/>
    </row>
    <row r="5059" spans="73:82" ht="15.75">
      <c r="BU5059" s="8"/>
      <c r="BZ5059" s="8"/>
      <c r="CD5059" s="8"/>
    </row>
    <row r="5060" spans="73:82" ht="15.75">
      <c r="BU5060" s="8"/>
      <c r="BZ5060" s="8"/>
      <c r="CD5060" s="8"/>
    </row>
    <row r="5061" spans="73:82" ht="15.75">
      <c r="BU5061" s="8"/>
      <c r="BZ5061" s="8"/>
      <c r="CD5061" s="8"/>
    </row>
    <row r="5062" spans="73:82" ht="15.75">
      <c r="BU5062" s="8"/>
      <c r="BZ5062" s="8"/>
      <c r="CD5062" s="8"/>
    </row>
    <row r="5063" spans="73:82" ht="15.75">
      <c r="BU5063" s="8"/>
      <c r="BZ5063" s="8"/>
      <c r="CD5063" s="8"/>
    </row>
    <row r="5064" spans="73:82" ht="15.75">
      <c r="BU5064" s="8"/>
      <c r="BZ5064" s="8"/>
      <c r="CD5064" s="8"/>
    </row>
    <row r="5065" spans="73:82" ht="15.75">
      <c r="BU5065" s="8"/>
      <c r="BZ5065" s="8"/>
      <c r="CD5065" s="8"/>
    </row>
    <row r="5066" spans="73:82" ht="15.75">
      <c r="BU5066" s="8"/>
      <c r="BZ5066" s="8"/>
      <c r="CD5066" s="8"/>
    </row>
    <row r="5067" spans="73:82" ht="15.75">
      <c r="BU5067" s="8"/>
      <c r="BZ5067" s="8"/>
      <c r="CD5067" s="8"/>
    </row>
    <row r="5068" spans="73:82" ht="15.75">
      <c r="BU5068" s="8"/>
      <c r="BZ5068" s="8"/>
      <c r="CD5068" s="8"/>
    </row>
    <row r="5069" spans="73:82" ht="15.75">
      <c r="BU5069" s="8"/>
      <c r="BZ5069" s="8"/>
      <c r="CD5069" s="8"/>
    </row>
    <row r="5070" spans="73:82" ht="15.75">
      <c r="BU5070" s="8"/>
      <c r="BZ5070" s="8"/>
      <c r="CD5070" s="8"/>
    </row>
    <row r="5071" spans="73:82" ht="15.75">
      <c r="BU5071" s="8"/>
      <c r="BZ5071" s="8"/>
      <c r="CD5071" s="8"/>
    </row>
    <row r="5072" spans="73:82" ht="15.75">
      <c r="BU5072" s="8"/>
      <c r="BZ5072" s="8"/>
      <c r="CD5072" s="8"/>
    </row>
    <row r="5073" spans="73:82" ht="15.75">
      <c r="BU5073" s="8"/>
      <c r="BZ5073" s="8"/>
      <c r="CD5073" s="8"/>
    </row>
    <row r="5074" spans="73:82" ht="15.75">
      <c r="BU5074" s="8"/>
      <c r="BZ5074" s="8"/>
      <c r="CD5074" s="8"/>
    </row>
    <row r="5075" spans="73:82" ht="15.75">
      <c r="BU5075" s="8"/>
      <c r="BZ5075" s="8"/>
      <c r="CD5075" s="8"/>
    </row>
    <row r="5076" spans="73:82" ht="15.75">
      <c r="BU5076" s="8"/>
      <c r="BZ5076" s="8"/>
      <c r="CD5076" s="8"/>
    </row>
    <row r="5077" spans="73:82" ht="15.75">
      <c r="BU5077" s="8"/>
      <c r="BZ5077" s="8"/>
      <c r="CD5077" s="8"/>
    </row>
    <row r="5078" spans="73:82" ht="15.75">
      <c r="BU5078" s="8"/>
      <c r="BZ5078" s="8"/>
      <c r="CD5078" s="8"/>
    </row>
    <row r="5079" spans="73:82" ht="15.75">
      <c r="BU5079" s="8"/>
      <c r="BZ5079" s="8"/>
      <c r="CD5079" s="8"/>
    </row>
    <row r="5080" spans="73:82" ht="15.75">
      <c r="BU5080" s="8"/>
      <c r="BZ5080" s="8"/>
      <c r="CD5080" s="8"/>
    </row>
    <row r="5081" spans="73:82" ht="15.75">
      <c r="BU5081" s="8"/>
      <c r="BZ5081" s="8"/>
      <c r="CD5081" s="8"/>
    </row>
    <row r="5082" spans="73:82" ht="15.75">
      <c r="BU5082" s="8"/>
      <c r="BZ5082" s="8"/>
      <c r="CD5082" s="8"/>
    </row>
    <row r="5083" spans="73:82" ht="15.75">
      <c r="BU5083" s="8"/>
      <c r="BZ5083" s="8"/>
      <c r="CD5083" s="8"/>
    </row>
    <row r="5084" spans="73:82" ht="15.75">
      <c r="BU5084" s="8"/>
      <c r="BZ5084" s="8"/>
      <c r="CD5084" s="8"/>
    </row>
    <row r="5085" spans="73:82" ht="15.75">
      <c r="BU5085" s="8"/>
      <c r="BZ5085" s="8"/>
      <c r="CD5085" s="8"/>
    </row>
    <row r="5086" spans="73:82" ht="15.75">
      <c r="BU5086" s="8"/>
      <c r="BZ5086" s="8"/>
      <c r="CD5086" s="8"/>
    </row>
    <row r="5087" spans="73:82" ht="15.75">
      <c r="BU5087" s="8"/>
      <c r="BZ5087" s="8"/>
      <c r="CD5087" s="8"/>
    </row>
    <row r="5088" spans="73:82" ht="15.75">
      <c r="BU5088" s="8"/>
      <c r="BZ5088" s="8"/>
      <c r="CD5088" s="8"/>
    </row>
    <row r="5089" spans="73:82" ht="15.75">
      <c r="BU5089" s="8"/>
      <c r="BZ5089" s="8"/>
      <c r="CD5089" s="8"/>
    </row>
    <row r="5090" spans="73:82" ht="15.75">
      <c r="BU5090" s="8"/>
      <c r="BZ5090" s="8"/>
      <c r="CD5090" s="8"/>
    </row>
    <row r="5091" spans="73:82" ht="15.75">
      <c r="BU5091" s="8"/>
      <c r="BZ5091" s="8"/>
      <c r="CD5091" s="8"/>
    </row>
    <row r="5092" spans="73:82" ht="15.75">
      <c r="BU5092" s="8"/>
      <c r="BZ5092" s="8"/>
      <c r="CD5092" s="8"/>
    </row>
    <row r="5093" spans="73:82" ht="15.75">
      <c r="BU5093" s="8"/>
      <c r="BZ5093" s="8"/>
      <c r="CD5093" s="8"/>
    </row>
    <row r="5094" spans="73:82" ht="15.75">
      <c r="BU5094" s="8"/>
      <c r="BZ5094" s="8"/>
      <c r="CD5094" s="8"/>
    </row>
    <row r="5095" spans="73:82" ht="15.75">
      <c r="BU5095" s="8"/>
      <c r="BZ5095" s="8"/>
      <c r="CD5095" s="8"/>
    </row>
    <row r="5096" spans="73:82" ht="15.75">
      <c r="BU5096" s="8"/>
      <c r="BZ5096" s="8"/>
      <c r="CD5096" s="8"/>
    </row>
    <row r="5097" spans="73:82" ht="15.75">
      <c r="BU5097" s="8"/>
      <c r="BZ5097" s="8"/>
      <c r="CD5097" s="8"/>
    </row>
    <row r="5098" spans="73:82" ht="15.75">
      <c r="BU5098" s="8"/>
      <c r="BZ5098" s="8"/>
      <c r="CD5098" s="8"/>
    </row>
    <row r="5099" spans="73:82" ht="15.75">
      <c r="BU5099" s="8"/>
      <c r="BZ5099" s="8"/>
      <c r="CD5099" s="8"/>
    </row>
    <row r="5100" spans="73:82" ht="15.75">
      <c r="BU5100" s="8"/>
      <c r="BZ5100" s="8"/>
      <c r="CD5100" s="8"/>
    </row>
    <row r="5101" spans="73:82" ht="15.75">
      <c r="BU5101" s="8"/>
      <c r="BZ5101" s="8"/>
      <c r="CD5101" s="8"/>
    </row>
    <row r="5102" spans="73:82" ht="15.75">
      <c r="BU5102" s="8"/>
      <c r="BZ5102" s="8"/>
      <c r="CD5102" s="8"/>
    </row>
    <row r="5103" spans="73:82" ht="15.75">
      <c r="BU5103" s="8"/>
      <c r="BZ5103" s="8"/>
      <c r="CD5103" s="8"/>
    </row>
    <row r="5104" spans="73:82" ht="15.75">
      <c r="BU5104" s="8"/>
      <c r="BZ5104" s="8"/>
      <c r="CD5104" s="8"/>
    </row>
    <row r="5105" spans="73:82" ht="15.75">
      <c r="BU5105" s="8"/>
      <c r="BZ5105" s="8"/>
      <c r="CD5105" s="8"/>
    </row>
    <row r="5106" spans="73:82" ht="15.75">
      <c r="BU5106" s="8"/>
      <c r="BZ5106" s="8"/>
      <c r="CD5106" s="8"/>
    </row>
    <row r="5107" spans="73:82" ht="15.75">
      <c r="BU5107" s="8"/>
      <c r="BZ5107" s="8"/>
      <c r="CD5107" s="8"/>
    </row>
    <row r="5108" spans="73:82" ht="15.75">
      <c r="BU5108" s="8"/>
      <c r="BZ5108" s="8"/>
      <c r="CD5108" s="8"/>
    </row>
    <row r="5109" spans="73:82" ht="15.75">
      <c r="BU5109" s="8"/>
      <c r="BZ5109" s="8"/>
      <c r="CD5109" s="8"/>
    </row>
    <row r="5110" spans="73:82" ht="15.75">
      <c r="BU5110" s="8"/>
      <c r="BZ5110" s="8"/>
      <c r="CD5110" s="8"/>
    </row>
    <row r="5111" spans="73:82" ht="15.75">
      <c r="BU5111" s="8"/>
      <c r="BZ5111" s="8"/>
      <c r="CD5111" s="8"/>
    </row>
    <row r="5112" spans="73:82" ht="15.75">
      <c r="BU5112" s="8"/>
      <c r="BZ5112" s="8"/>
      <c r="CD5112" s="8"/>
    </row>
    <row r="5113" spans="73:82" ht="15.75">
      <c r="BU5113" s="8"/>
      <c r="BZ5113" s="8"/>
      <c r="CD5113" s="8"/>
    </row>
    <row r="5114" spans="73:82" ht="15.75">
      <c r="BU5114" s="8"/>
      <c r="BZ5114" s="8"/>
      <c r="CD5114" s="8"/>
    </row>
    <row r="5115" spans="73:82" ht="15.75">
      <c r="BU5115" s="8"/>
      <c r="BZ5115" s="8"/>
      <c r="CD5115" s="8"/>
    </row>
    <row r="5116" spans="73:82" ht="15.75">
      <c r="BU5116" s="8"/>
      <c r="BZ5116" s="8"/>
      <c r="CD5116" s="8"/>
    </row>
    <row r="5117" spans="73:82" ht="15.75">
      <c r="BU5117" s="8"/>
      <c r="BZ5117" s="8"/>
      <c r="CD5117" s="8"/>
    </row>
    <row r="5118" spans="73:82" ht="15.75">
      <c r="BU5118" s="8"/>
      <c r="BZ5118" s="8"/>
      <c r="CD5118" s="8"/>
    </row>
    <row r="5119" spans="73:82" ht="15.75">
      <c r="BU5119" s="8"/>
      <c r="BZ5119" s="8"/>
      <c r="CD5119" s="8"/>
    </row>
    <row r="5120" spans="73:82" ht="15.75">
      <c r="BU5120" s="8"/>
      <c r="BZ5120" s="8"/>
      <c r="CD5120" s="8"/>
    </row>
    <row r="5121" spans="73:82" ht="15.75">
      <c r="BU5121" s="8"/>
      <c r="BZ5121" s="8"/>
      <c r="CD5121" s="8"/>
    </row>
    <row r="5122" spans="73:82" ht="15.75">
      <c r="BU5122" s="8"/>
      <c r="BZ5122" s="8"/>
      <c r="CD5122" s="8"/>
    </row>
    <row r="5123" spans="73:82" ht="15.75">
      <c r="BU5123" s="8"/>
      <c r="BZ5123" s="8"/>
      <c r="CD5123" s="8"/>
    </row>
    <row r="5124" spans="73:82" ht="15.75">
      <c r="BU5124" s="8"/>
      <c r="BZ5124" s="8"/>
      <c r="CD5124" s="8"/>
    </row>
    <row r="5125" spans="73:82" ht="15.75">
      <c r="BU5125" s="8"/>
      <c r="BZ5125" s="8"/>
      <c r="CD5125" s="8"/>
    </row>
    <row r="5126" spans="73:82" ht="15.75">
      <c r="BU5126" s="8"/>
      <c r="BZ5126" s="8"/>
      <c r="CD5126" s="8"/>
    </row>
    <row r="5127" spans="73:82" ht="15.75">
      <c r="BU5127" s="8"/>
      <c r="BZ5127" s="8"/>
      <c r="CD5127" s="8"/>
    </row>
    <row r="5128" spans="73:82" ht="15.75">
      <c r="BU5128" s="8"/>
      <c r="BZ5128" s="8"/>
      <c r="CD5128" s="8"/>
    </row>
    <row r="5129" spans="73:82" ht="15.75">
      <c r="BU5129" s="8"/>
      <c r="BZ5129" s="8"/>
      <c r="CD5129" s="8"/>
    </row>
    <row r="5130" spans="73:82" ht="15.75">
      <c r="BU5130" s="8"/>
      <c r="BZ5130" s="8"/>
      <c r="CD5130" s="8"/>
    </row>
    <row r="5131" spans="73:82" ht="15.75">
      <c r="BU5131" s="8"/>
      <c r="BZ5131" s="8"/>
      <c r="CD5131" s="8"/>
    </row>
    <row r="5132" spans="73:82" ht="15.75">
      <c r="BU5132" s="8"/>
      <c r="BZ5132" s="8"/>
      <c r="CD5132" s="8"/>
    </row>
    <row r="5133" spans="73:82" ht="15.75">
      <c r="BU5133" s="8"/>
      <c r="BZ5133" s="8"/>
      <c r="CD5133" s="8"/>
    </row>
    <row r="5134" spans="73:82" ht="15.75">
      <c r="BU5134" s="8"/>
      <c r="BZ5134" s="8"/>
      <c r="CD5134" s="8"/>
    </row>
    <row r="5135" spans="73:82" ht="15.75">
      <c r="BU5135" s="8"/>
      <c r="BZ5135" s="8"/>
      <c r="CD5135" s="8"/>
    </row>
    <row r="5136" spans="73:82" ht="15.75">
      <c r="BU5136" s="8"/>
      <c r="BZ5136" s="8"/>
      <c r="CD5136" s="8"/>
    </row>
    <row r="5137" spans="73:82" ht="15.75">
      <c r="BU5137" s="8"/>
      <c r="BZ5137" s="8"/>
      <c r="CD5137" s="8"/>
    </row>
    <row r="5138" spans="73:82" ht="15.75">
      <c r="BU5138" s="8"/>
      <c r="BZ5138" s="8"/>
      <c r="CD5138" s="8"/>
    </row>
    <row r="5139" spans="73:82" ht="15.75">
      <c r="BU5139" s="8"/>
      <c r="BZ5139" s="8"/>
      <c r="CD5139" s="8"/>
    </row>
    <row r="5140" spans="73:82" ht="15.75">
      <c r="BU5140" s="8"/>
      <c r="BZ5140" s="8"/>
      <c r="CD5140" s="8"/>
    </row>
    <row r="5141" spans="73:82" ht="15.75">
      <c r="BU5141" s="8"/>
      <c r="BZ5141" s="8"/>
      <c r="CD5141" s="8"/>
    </row>
    <row r="5142" spans="73:82" ht="15.75">
      <c r="BU5142" s="8"/>
      <c r="BZ5142" s="8"/>
      <c r="CD5142" s="8"/>
    </row>
    <row r="5143" spans="73:82" ht="15.75">
      <c r="BU5143" s="8"/>
      <c r="BZ5143" s="8"/>
      <c r="CD5143" s="8"/>
    </row>
    <row r="5144" spans="73:82" ht="15.75">
      <c r="BU5144" s="8"/>
      <c r="BZ5144" s="8"/>
      <c r="CD5144" s="8"/>
    </row>
    <row r="5145" spans="73:82" ht="15.75">
      <c r="BU5145" s="8"/>
      <c r="BZ5145" s="8"/>
      <c r="CD5145" s="8"/>
    </row>
    <row r="5146" spans="73:82" ht="15.75">
      <c r="BU5146" s="8"/>
      <c r="BZ5146" s="8"/>
      <c r="CD5146" s="8"/>
    </row>
    <row r="5147" spans="73:82" ht="15.75">
      <c r="BU5147" s="8"/>
      <c r="BZ5147" s="8"/>
      <c r="CD5147" s="8"/>
    </row>
    <row r="5148" spans="73:82" ht="15.75">
      <c r="BU5148" s="8"/>
      <c r="BZ5148" s="8"/>
      <c r="CD5148" s="8"/>
    </row>
    <row r="5149" spans="73:82" ht="15.75">
      <c r="BU5149" s="8"/>
      <c r="BZ5149" s="8"/>
      <c r="CD5149" s="8"/>
    </row>
    <row r="5150" spans="73:82" ht="15.75">
      <c r="BU5150" s="8"/>
      <c r="BZ5150" s="8"/>
      <c r="CD5150" s="8"/>
    </row>
    <row r="5151" spans="73:82" ht="15.75">
      <c r="BU5151" s="8"/>
      <c r="BZ5151" s="8"/>
      <c r="CD5151" s="8"/>
    </row>
    <row r="5152" spans="73:82" ht="15.75">
      <c r="BU5152" s="8"/>
      <c r="BZ5152" s="8"/>
      <c r="CD5152" s="8"/>
    </row>
    <row r="5153" spans="73:82" ht="15.75">
      <c r="BU5153" s="8"/>
      <c r="BZ5153" s="8"/>
      <c r="CD5153" s="8"/>
    </row>
    <row r="5154" spans="73:82" ht="15.75">
      <c r="BU5154" s="8"/>
      <c r="BZ5154" s="8"/>
      <c r="CD5154" s="8"/>
    </row>
    <row r="5155" spans="73:82" ht="15.75">
      <c r="BU5155" s="8"/>
      <c r="BZ5155" s="8"/>
      <c r="CD5155" s="8"/>
    </row>
    <row r="5156" spans="73:82" ht="15.75">
      <c r="BU5156" s="8"/>
      <c r="BZ5156" s="8"/>
      <c r="CD5156" s="8"/>
    </row>
    <row r="5157" spans="73:82" ht="15.75">
      <c r="BU5157" s="8"/>
      <c r="BZ5157" s="8"/>
      <c r="CD5157" s="8"/>
    </row>
    <row r="5158" spans="73:82" ht="15.75">
      <c r="BU5158" s="8"/>
      <c r="BZ5158" s="8"/>
      <c r="CD5158" s="8"/>
    </row>
    <row r="5159" spans="73:82" ht="15.75">
      <c r="BU5159" s="8"/>
      <c r="BZ5159" s="8"/>
      <c r="CD5159" s="8"/>
    </row>
    <row r="5160" spans="73:82" ht="15.75">
      <c r="BU5160" s="8"/>
      <c r="BZ5160" s="8"/>
      <c r="CD5160" s="8"/>
    </row>
    <row r="5161" spans="73:82" ht="15.75">
      <c r="BU5161" s="8"/>
      <c r="BZ5161" s="8"/>
      <c r="CD5161" s="8"/>
    </row>
    <row r="5162" spans="73:82" ht="15.75">
      <c r="BU5162" s="8"/>
      <c r="BZ5162" s="8"/>
      <c r="CD5162" s="8"/>
    </row>
    <row r="5163" spans="73:82" ht="15.75">
      <c r="BU5163" s="8"/>
      <c r="BZ5163" s="8"/>
      <c r="CD5163" s="8"/>
    </row>
    <row r="5164" spans="73:82" ht="15.75">
      <c r="BU5164" s="8"/>
      <c r="BZ5164" s="8"/>
      <c r="CD5164" s="8"/>
    </row>
    <row r="5165" spans="73:82" ht="15.75">
      <c r="BU5165" s="8"/>
      <c r="BZ5165" s="8"/>
      <c r="CD5165" s="8"/>
    </row>
    <row r="5166" spans="73:82" ht="15.75">
      <c r="BU5166" s="8"/>
      <c r="BZ5166" s="8"/>
      <c r="CD5166" s="8"/>
    </row>
    <row r="5167" spans="73:82" ht="15.75">
      <c r="BU5167" s="8"/>
      <c r="BZ5167" s="8"/>
      <c r="CD5167" s="8"/>
    </row>
    <row r="5168" spans="73:82" ht="15.75">
      <c r="BU5168" s="8"/>
      <c r="BZ5168" s="8"/>
      <c r="CD5168" s="8"/>
    </row>
    <row r="5169" spans="73:82" ht="15.75">
      <c r="BU5169" s="8"/>
      <c r="BZ5169" s="8"/>
      <c r="CD5169" s="8"/>
    </row>
    <row r="5170" spans="73:82" ht="15.75">
      <c r="BU5170" s="8"/>
      <c r="BZ5170" s="8"/>
      <c r="CD5170" s="8"/>
    </row>
    <row r="5171" spans="73:82" ht="15.75">
      <c r="BU5171" s="8"/>
      <c r="BZ5171" s="8"/>
      <c r="CD5171" s="8"/>
    </row>
    <row r="5172" spans="73:82" ht="15.75">
      <c r="BU5172" s="8"/>
      <c r="BZ5172" s="8"/>
      <c r="CD5172" s="8"/>
    </row>
    <row r="5173" spans="73:82" ht="15.75">
      <c r="BU5173" s="8"/>
      <c r="BZ5173" s="8"/>
      <c r="CD5173" s="8"/>
    </row>
    <row r="5174" spans="73:82" ht="15.75">
      <c r="BU5174" s="8"/>
      <c r="BZ5174" s="8"/>
      <c r="CD5174" s="8"/>
    </row>
    <row r="5175" spans="73:82" ht="15.75">
      <c r="BU5175" s="8"/>
      <c r="BZ5175" s="8"/>
      <c r="CD5175" s="8"/>
    </row>
    <row r="5176" spans="73:82" ht="15.75">
      <c r="BU5176" s="8"/>
      <c r="BZ5176" s="8"/>
      <c r="CD5176" s="8"/>
    </row>
    <row r="5177" spans="73:82" ht="15.75">
      <c r="BU5177" s="8"/>
      <c r="BZ5177" s="8"/>
      <c r="CD5177" s="8"/>
    </row>
    <row r="5178" spans="73:82" ht="15.75">
      <c r="BU5178" s="8"/>
      <c r="BZ5178" s="8"/>
      <c r="CD5178" s="8"/>
    </row>
    <row r="5179" spans="73:82" ht="15.75">
      <c r="BU5179" s="8"/>
      <c r="BZ5179" s="8"/>
      <c r="CD5179" s="8"/>
    </row>
    <row r="5180" spans="73:82" ht="15.75">
      <c r="BU5180" s="8"/>
      <c r="BZ5180" s="8"/>
      <c r="CD5180" s="8"/>
    </row>
    <row r="5181" spans="73:82" ht="15.75">
      <c r="BU5181" s="8"/>
      <c r="BZ5181" s="8"/>
      <c r="CD5181" s="8"/>
    </row>
    <row r="5182" spans="73:82" ht="15.75">
      <c r="BU5182" s="8"/>
      <c r="BZ5182" s="8"/>
      <c r="CD5182" s="8"/>
    </row>
    <row r="5183" spans="73:82" ht="15.75">
      <c r="BU5183" s="8"/>
      <c r="BZ5183" s="8"/>
      <c r="CD5183" s="8"/>
    </row>
    <row r="5184" spans="73:82" ht="15.75">
      <c r="BU5184" s="8"/>
      <c r="BZ5184" s="8"/>
      <c r="CD5184" s="8"/>
    </row>
    <row r="5185" spans="73:82" ht="15.75">
      <c r="BU5185" s="8"/>
      <c r="BZ5185" s="8"/>
      <c r="CD5185" s="8"/>
    </row>
    <row r="5186" spans="73:82" ht="15.75">
      <c r="BU5186" s="8"/>
      <c r="BZ5186" s="8"/>
      <c r="CD5186" s="8"/>
    </row>
    <row r="5187" spans="73:82" ht="15.75">
      <c r="BU5187" s="8"/>
      <c r="BZ5187" s="8"/>
      <c r="CD5187" s="8"/>
    </row>
    <row r="5188" spans="73:82" ht="15.75">
      <c r="BU5188" s="8"/>
      <c r="BZ5188" s="8"/>
      <c r="CD5188" s="8"/>
    </row>
    <row r="5189" spans="73:82" ht="15.75">
      <c r="BU5189" s="8"/>
      <c r="BZ5189" s="8"/>
      <c r="CD5189" s="8"/>
    </row>
    <row r="5190" spans="73:82" ht="15.75">
      <c r="BU5190" s="8"/>
      <c r="BZ5190" s="8"/>
      <c r="CD5190" s="8"/>
    </row>
    <row r="5191" spans="73:82" ht="15.75">
      <c r="BU5191" s="8"/>
      <c r="BZ5191" s="8"/>
      <c r="CD5191" s="8"/>
    </row>
    <row r="5192" spans="73:82" ht="15.75">
      <c r="BU5192" s="8"/>
      <c r="BZ5192" s="8"/>
      <c r="CD5192" s="8"/>
    </row>
    <row r="5193" spans="73:82" ht="15.75">
      <c r="BU5193" s="8"/>
      <c r="BZ5193" s="8"/>
      <c r="CD5193" s="8"/>
    </row>
    <row r="5194" spans="73:82" ht="15.75">
      <c r="BU5194" s="8"/>
      <c r="BZ5194" s="8"/>
      <c r="CD5194" s="8"/>
    </row>
    <row r="5195" spans="73:82" ht="15.75">
      <c r="BU5195" s="8"/>
      <c r="BZ5195" s="8"/>
      <c r="CD5195" s="8"/>
    </row>
    <row r="5196" spans="73:82" ht="15.75">
      <c r="BU5196" s="8"/>
      <c r="BZ5196" s="8"/>
      <c r="CD5196" s="8"/>
    </row>
    <row r="5197" spans="73:82" ht="15.75">
      <c r="BU5197" s="8"/>
      <c r="BZ5197" s="8"/>
      <c r="CD5197" s="8"/>
    </row>
    <row r="5198" spans="73:82" ht="15.75">
      <c r="BU5198" s="8"/>
      <c r="BZ5198" s="8"/>
      <c r="CD5198" s="8"/>
    </row>
    <row r="5199" spans="73:82" ht="15.75">
      <c r="BU5199" s="8"/>
      <c r="BZ5199" s="8"/>
      <c r="CD5199" s="8"/>
    </row>
    <row r="5200" spans="73:82" ht="15.75">
      <c r="BU5200" s="8"/>
      <c r="BZ5200" s="8"/>
      <c r="CD5200" s="8"/>
    </row>
    <row r="5201" spans="73:82" ht="15.75">
      <c r="BU5201" s="8"/>
      <c r="BZ5201" s="8"/>
      <c r="CD5201" s="8"/>
    </row>
    <row r="5202" spans="73:82" ht="15.75">
      <c r="BU5202" s="8"/>
      <c r="BZ5202" s="8"/>
      <c r="CD5202" s="8"/>
    </row>
    <row r="5203" spans="73:82" ht="15.75">
      <c r="BU5203" s="8"/>
      <c r="BZ5203" s="8"/>
      <c r="CD5203" s="8"/>
    </row>
    <row r="5204" spans="73:82" ht="15.75">
      <c r="BU5204" s="8"/>
      <c r="BZ5204" s="8"/>
      <c r="CD5204" s="8"/>
    </row>
    <row r="5205" spans="73:82" ht="15.75">
      <c r="BU5205" s="8"/>
      <c r="BZ5205" s="8"/>
      <c r="CD5205" s="8"/>
    </row>
    <row r="5206" spans="73:82" ht="15.75">
      <c r="BU5206" s="8"/>
      <c r="BZ5206" s="8"/>
      <c r="CD5206" s="8"/>
    </row>
    <row r="5207" spans="73:82" ht="15.75">
      <c r="BU5207" s="8"/>
      <c r="BZ5207" s="8"/>
      <c r="CD5207" s="8"/>
    </row>
    <row r="5208" spans="73:82" ht="15.75">
      <c r="BU5208" s="8"/>
      <c r="BZ5208" s="8"/>
      <c r="CD5208" s="8"/>
    </row>
    <row r="5209" spans="73:82" ht="15.75">
      <c r="BU5209" s="8"/>
      <c r="BZ5209" s="8"/>
      <c r="CD5209" s="8"/>
    </row>
    <row r="5210" spans="73:82" ht="15.75">
      <c r="BU5210" s="8"/>
      <c r="BZ5210" s="8"/>
      <c r="CD5210" s="8"/>
    </row>
    <row r="5211" spans="73:82" ht="15.75">
      <c r="BU5211" s="8"/>
      <c r="BZ5211" s="8"/>
      <c r="CD5211" s="8"/>
    </row>
    <row r="5212" spans="73:82" ht="15.75">
      <c r="BU5212" s="8"/>
      <c r="BZ5212" s="8"/>
      <c r="CD5212" s="8"/>
    </row>
    <row r="5213" spans="73:82" ht="15.75">
      <c r="BU5213" s="8"/>
      <c r="BZ5213" s="8"/>
      <c r="CD5213" s="8"/>
    </row>
    <row r="5214" spans="73:82" ht="15.75">
      <c r="BU5214" s="8"/>
      <c r="BZ5214" s="8"/>
      <c r="CD5214" s="8"/>
    </row>
    <row r="5215" spans="73:82" ht="15.75">
      <c r="BU5215" s="8"/>
      <c r="BZ5215" s="8"/>
      <c r="CD5215" s="8"/>
    </row>
    <row r="5216" spans="73:82" ht="15.75">
      <c r="BU5216" s="8"/>
      <c r="BZ5216" s="8"/>
      <c r="CD5216" s="8"/>
    </row>
    <row r="5217" spans="73:82" ht="15.75">
      <c r="BU5217" s="8"/>
      <c r="BZ5217" s="8"/>
      <c r="CD5217" s="8"/>
    </row>
    <row r="5218" spans="73:82" ht="15.75">
      <c r="BU5218" s="8"/>
      <c r="BZ5218" s="8"/>
      <c r="CD5218" s="8"/>
    </row>
    <row r="5219" spans="73:82" ht="15.75">
      <c r="BU5219" s="8"/>
      <c r="BZ5219" s="8"/>
      <c r="CD5219" s="8"/>
    </row>
    <row r="5220" spans="73:82" ht="15.75">
      <c r="BU5220" s="8"/>
      <c r="BZ5220" s="8"/>
      <c r="CD5220" s="8"/>
    </row>
    <row r="5221" spans="73:82" ht="15.75">
      <c r="BU5221" s="8"/>
      <c r="BZ5221" s="8"/>
      <c r="CD5221" s="8"/>
    </row>
    <row r="5222" spans="73:82" ht="15.75">
      <c r="BU5222" s="8"/>
      <c r="BZ5222" s="8"/>
      <c r="CD5222" s="8"/>
    </row>
    <row r="5223" spans="73:82" ht="15.75">
      <c r="BU5223" s="8"/>
      <c r="BZ5223" s="8"/>
      <c r="CD5223" s="8"/>
    </row>
    <row r="5224" spans="73:82" ht="15.75">
      <c r="BU5224" s="8"/>
      <c r="BZ5224" s="8"/>
      <c r="CD5224" s="8"/>
    </row>
    <row r="5225" spans="73:82" ht="15.75">
      <c r="BU5225" s="8"/>
      <c r="BZ5225" s="8"/>
      <c r="CD5225" s="8"/>
    </row>
    <row r="5226" spans="73:82" ht="15.75">
      <c r="BU5226" s="8"/>
      <c r="BZ5226" s="8"/>
      <c r="CD5226" s="8"/>
    </row>
    <row r="5227" spans="73:82" ht="15.75">
      <c r="BU5227" s="8"/>
      <c r="BZ5227" s="8"/>
      <c r="CD5227" s="8"/>
    </row>
    <row r="5228" spans="73:82" ht="15.75">
      <c r="BU5228" s="8"/>
      <c r="BZ5228" s="8"/>
      <c r="CD5228" s="8"/>
    </row>
    <row r="5229" spans="73:82" ht="15.75">
      <c r="BU5229" s="8"/>
      <c r="BZ5229" s="8"/>
      <c r="CD5229" s="8"/>
    </row>
    <row r="5230" spans="73:82" ht="15.75">
      <c r="BU5230" s="8"/>
      <c r="BZ5230" s="8"/>
      <c r="CD5230" s="8"/>
    </row>
    <row r="5231" spans="73:82" ht="15.75">
      <c r="BU5231" s="8"/>
      <c r="BZ5231" s="8"/>
      <c r="CD5231" s="8"/>
    </row>
    <row r="5232" spans="73:82" ht="15.75">
      <c r="BU5232" s="8"/>
      <c r="BZ5232" s="8"/>
      <c r="CD5232" s="8"/>
    </row>
    <row r="5233" spans="73:82" ht="15.75">
      <c r="BU5233" s="8"/>
      <c r="BZ5233" s="8"/>
      <c r="CD5233" s="8"/>
    </row>
    <row r="5234" spans="73:82" ht="15.75">
      <c r="BU5234" s="8"/>
      <c r="BZ5234" s="8"/>
      <c r="CD5234" s="8"/>
    </row>
    <row r="5235" spans="73:82" ht="15.75">
      <c r="BU5235" s="8"/>
      <c r="BZ5235" s="8"/>
      <c r="CD5235" s="8"/>
    </row>
    <row r="5236" spans="73:82" ht="15.75">
      <c r="BU5236" s="8"/>
      <c r="BZ5236" s="8"/>
      <c r="CD5236" s="8"/>
    </row>
    <row r="5237" spans="73:82" ht="15.75">
      <c r="BU5237" s="8"/>
      <c r="BZ5237" s="8"/>
      <c r="CD5237" s="8"/>
    </row>
    <row r="5238" spans="73:82" ht="15.75">
      <c r="BU5238" s="8"/>
      <c r="BZ5238" s="8"/>
      <c r="CD5238" s="8"/>
    </row>
    <row r="5239" spans="73:82" ht="15.75">
      <c r="BU5239" s="8"/>
      <c r="BZ5239" s="8"/>
      <c r="CD5239" s="8"/>
    </row>
    <row r="5240" spans="73:82" ht="15.75">
      <c r="BU5240" s="8"/>
      <c r="BZ5240" s="8"/>
      <c r="CD5240" s="8"/>
    </row>
    <row r="5241" spans="73:82" ht="15.75">
      <c r="BU5241" s="8"/>
      <c r="BZ5241" s="8"/>
      <c r="CD5241" s="8"/>
    </row>
    <row r="5242" spans="73:82" ht="15.75">
      <c r="BU5242" s="8"/>
      <c r="BZ5242" s="8"/>
      <c r="CD5242" s="8"/>
    </row>
    <row r="5243" spans="73:82" ht="15.75">
      <c r="BU5243" s="8"/>
      <c r="BZ5243" s="8"/>
      <c r="CD5243" s="8"/>
    </row>
    <row r="5244" spans="73:82" ht="15.75">
      <c r="BU5244" s="8"/>
      <c r="BZ5244" s="8"/>
      <c r="CD5244" s="8"/>
    </row>
    <row r="5245" spans="73:82" ht="15.75">
      <c r="BU5245" s="8"/>
      <c r="BZ5245" s="8"/>
      <c r="CD5245" s="8"/>
    </row>
    <row r="5246" spans="73:82" ht="15.75">
      <c r="BU5246" s="8"/>
      <c r="BZ5246" s="8"/>
      <c r="CD5246" s="8"/>
    </row>
    <row r="5247" spans="73:82" ht="15.75">
      <c r="BU5247" s="8"/>
      <c r="BZ5247" s="8"/>
      <c r="CD5247" s="8"/>
    </row>
    <row r="5248" spans="73:82" ht="15.75">
      <c r="BU5248" s="8"/>
      <c r="BZ5248" s="8"/>
      <c r="CD5248" s="8"/>
    </row>
    <row r="5249" spans="73:82" ht="15.75">
      <c r="BU5249" s="8"/>
      <c r="BZ5249" s="8"/>
      <c r="CD5249" s="8"/>
    </row>
    <row r="5250" spans="73:82" ht="15.75">
      <c r="BU5250" s="8"/>
      <c r="BZ5250" s="8"/>
      <c r="CD5250" s="8"/>
    </row>
    <row r="5251" spans="73:82" ht="15.75">
      <c r="BU5251" s="8"/>
      <c r="BZ5251" s="8"/>
      <c r="CD5251" s="8"/>
    </row>
    <row r="5252" spans="73:82" ht="15.75">
      <c r="BU5252" s="8"/>
      <c r="BZ5252" s="8"/>
      <c r="CD5252" s="8"/>
    </row>
    <row r="5253" spans="73:82" ht="15.75">
      <c r="BU5253" s="8"/>
      <c r="BZ5253" s="8"/>
      <c r="CD5253" s="8"/>
    </row>
    <row r="5254" spans="73:82" ht="15.75">
      <c r="BU5254" s="8"/>
      <c r="BZ5254" s="8"/>
      <c r="CD5254" s="8"/>
    </row>
    <row r="5255" spans="73:82" ht="15.75">
      <c r="BU5255" s="8"/>
      <c r="BZ5255" s="8"/>
      <c r="CD5255" s="8"/>
    </row>
    <row r="5256" spans="73:82" ht="15.75">
      <c r="BU5256" s="8"/>
      <c r="BZ5256" s="8"/>
      <c r="CD5256" s="8"/>
    </row>
    <row r="5257" spans="73:82" ht="15.75">
      <c r="BU5257" s="8"/>
      <c r="BZ5257" s="8"/>
      <c r="CD5257" s="8"/>
    </row>
    <row r="5258" spans="73:82" ht="15.75">
      <c r="BU5258" s="8"/>
      <c r="BZ5258" s="8"/>
      <c r="CD5258" s="8"/>
    </row>
    <row r="5259" spans="73:82" ht="15.75">
      <c r="BU5259" s="8"/>
      <c r="BZ5259" s="8"/>
      <c r="CD5259" s="8"/>
    </row>
    <row r="5260" spans="73:82" ht="15.75">
      <c r="BU5260" s="8"/>
      <c r="BZ5260" s="8"/>
      <c r="CD5260" s="8"/>
    </row>
    <row r="5261" spans="73:82" ht="15.75">
      <c r="BU5261" s="8"/>
      <c r="BZ5261" s="8"/>
      <c r="CD5261" s="8"/>
    </row>
    <row r="5262" spans="73:82" ht="15.75">
      <c r="BU5262" s="8"/>
      <c r="BZ5262" s="8"/>
      <c r="CD5262" s="8"/>
    </row>
    <row r="5263" spans="73:82" ht="15.75">
      <c r="BU5263" s="8"/>
      <c r="BZ5263" s="8"/>
      <c r="CD5263" s="8"/>
    </row>
    <row r="5264" spans="73:82" ht="15.75">
      <c r="BU5264" s="8"/>
      <c r="BZ5264" s="8"/>
      <c r="CD5264" s="8"/>
    </row>
    <row r="5265" spans="73:82" ht="15.75">
      <c r="BU5265" s="8"/>
      <c r="BZ5265" s="8"/>
      <c r="CD5265" s="8"/>
    </row>
    <row r="5266" spans="73:82" ht="15.75">
      <c r="BU5266" s="8"/>
      <c r="BZ5266" s="8"/>
      <c r="CD5266" s="8"/>
    </row>
    <row r="5267" spans="73:82" ht="15.75">
      <c r="BU5267" s="8"/>
      <c r="BZ5267" s="8"/>
      <c r="CD5267" s="8"/>
    </row>
    <row r="5268" spans="73:82" ht="15.75">
      <c r="BU5268" s="8"/>
      <c r="BZ5268" s="8"/>
      <c r="CD5268" s="8"/>
    </row>
    <row r="5269" spans="73:82" ht="15.75">
      <c r="BU5269" s="8"/>
      <c r="BZ5269" s="8"/>
      <c r="CD5269" s="8"/>
    </row>
    <row r="5270" spans="73:82" ht="15.75">
      <c r="BU5270" s="8"/>
      <c r="BZ5270" s="8"/>
      <c r="CD5270" s="8"/>
    </row>
    <row r="5271" spans="73:82" ht="15.75">
      <c r="BU5271" s="8"/>
      <c r="BZ5271" s="8"/>
      <c r="CD5271" s="8"/>
    </row>
    <row r="5272" spans="73:82" ht="15.75">
      <c r="BU5272" s="8"/>
      <c r="BZ5272" s="8"/>
      <c r="CD5272" s="8"/>
    </row>
    <row r="5273" spans="73:82" ht="15.75">
      <c r="BU5273" s="8"/>
      <c r="BZ5273" s="8"/>
      <c r="CD5273" s="8"/>
    </row>
    <row r="5274" spans="73:82" ht="15.75">
      <c r="BU5274" s="8"/>
      <c r="BZ5274" s="8"/>
      <c r="CD5274" s="8"/>
    </row>
    <row r="5275" spans="73:82" ht="15.75">
      <c r="BU5275" s="8"/>
      <c r="BZ5275" s="8"/>
      <c r="CD5275" s="8"/>
    </row>
    <row r="5276" spans="73:82" ht="15.75">
      <c r="BU5276" s="8"/>
      <c r="BZ5276" s="8"/>
      <c r="CD5276" s="8"/>
    </row>
    <row r="5277" spans="73:82" ht="15.75">
      <c r="BU5277" s="8"/>
      <c r="BZ5277" s="8"/>
      <c r="CD5277" s="8"/>
    </row>
    <row r="5278" spans="73:82" ht="15.75">
      <c r="BU5278" s="8"/>
      <c r="BZ5278" s="8"/>
      <c r="CD5278" s="8"/>
    </row>
    <row r="5279" spans="73:82" ht="15.75">
      <c r="BU5279" s="8"/>
      <c r="BZ5279" s="8"/>
      <c r="CD5279" s="8"/>
    </row>
    <row r="5280" spans="73:82" ht="15.75">
      <c r="BU5280" s="8"/>
      <c r="BZ5280" s="8"/>
      <c r="CD5280" s="8"/>
    </row>
    <row r="5281" spans="73:82" ht="15.75">
      <c r="BU5281" s="8"/>
      <c r="BZ5281" s="8"/>
      <c r="CD5281" s="8"/>
    </row>
    <row r="5282" spans="73:82" ht="15.75">
      <c r="BU5282" s="8"/>
      <c r="BZ5282" s="8"/>
      <c r="CD5282" s="8"/>
    </row>
    <row r="5283" spans="73:82" ht="15.75">
      <c r="BU5283" s="8"/>
      <c r="BZ5283" s="8"/>
      <c r="CD5283" s="8"/>
    </row>
    <row r="5284" spans="73:82" ht="15.75">
      <c r="BU5284" s="8"/>
      <c r="BZ5284" s="8"/>
      <c r="CD5284" s="8"/>
    </row>
    <row r="5285" spans="73:82" ht="15.75">
      <c r="BU5285" s="8"/>
      <c r="BZ5285" s="8"/>
      <c r="CD5285" s="8"/>
    </row>
    <row r="5286" spans="73:82" ht="15.75">
      <c r="BU5286" s="8"/>
      <c r="BZ5286" s="8"/>
      <c r="CD5286" s="8"/>
    </row>
    <row r="5287" spans="73:82" ht="15.75">
      <c r="BU5287" s="8"/>
      <c r="BZ5287" s="8"/>
      <c r="CD5287" s="8"/>
    </row>
    <row r="5288" spans="73:82" ht="15.75">
      <c r="BU5288" s="8"/>
      <c r="BZ5288" s="8"/>
      <c r="CD5288" s="8"/>
    </row>
    <row r="5289" spans="73:82" ht="15.75">
      <c r="BU5289" s="8"/>
      <c r="BZ5289" s="8"/>
      <c r="CD5289" s="8"/>
    </row>
    <row r="5290" spans="73:82" ht="15.75">
      <c r="BU5290" s="8"/>
      <c r="BZ5290" s="8"/>
      <c r="CD5290" s="8"/>
    </row>
    <row r="5291" spans="73:82" ht="15.75">
      <c r="BU5291" s="8"/>
      <c r="BZ5291" s="8"/>
      <c r="CD5291" s="8"/>
    </row>
    <row r="5292" spans="73:82" ht="15.75">
      <c r="BU5292" s="8"/>
      <c r="BZ5292" s="8"/>
      <c r="CD5292" s="8"/>
    </row>
    <row r="5293" spans="73:82" ht="15.75">
      <c r="BU5293" s="8"/>
      <c r="BZ5293" s="8"/>
      <c r="CD5293" s="8"/>
    </row>
    <row r="5294" spans="73:82" ht="15.75">
      <c r="BU5294" s="8"/>
      <c r="BZ5294" s="8"/>
      <c r="CD5294" s="8"/>
    </row>
    <row r="5295" spans="73:82" ht="15.75">
      <c r="BU5295" s="8"/>
      <c r="BZ5295" s="8"/>
      <c r="CD5295" s="8"/>
    </row>
    <row r="5296" spans="73:82" ht="15.75">
      <c r="BU5296" s="8"/>
      <c r="BZ5296" s="8"/>
      <c r="CD5296" s="8"/>
    </row>
    <row r="5297" spans="73:82" ht="15.75">
      <c r="BU5297" s="8"/>
      <c r="BZ5297" s="8"/>
      <c r="CD5297" s="8"/>
    </row>
    <row r="5298" spans="73:82" ht="15.75">
      <c r="BU5298" s="8"/>
      <c r="BZ5298" s="8"/>
      <c r="CD5298" s="8"/>
    </row>
    <row r="5299" spans="73:82" ht="15.75">
      <c r="BU5299" s="8"/>
      <c r="BZ5299" s="8"/>
      <c r="CD5299" s="8"/>
    </row>
    <row r="5300" spans="73:82" ht="15.75">
      <c r="BU5300" s="8"/>
      <c r="BZ5300" s="8"/>
      <c r="CD5300" s="8"/>
    </row>
    <row r="5301" spans="73:82" ht="15.75">
      <c r="BU5301" s="8"/>
      <c r="BZ5301" s="8"/>
      <c r="CD5301" s="8"/>
    </row>
    <row r="5302" spans="73:82" ht="15.75">
      <c r="BU5302" s="8"/>
      <c r="BZ5302" s="8"/>
      <c r="CD5302" s="8"/>
    </row>
    <row r="5303" spans="73:82" ht="15.75">
      <c r="BU5303" s="8"/>
      <c r="BZ5303" s="8"/>
      <c r="CD5303" s="8"/>
    </row>
    <row r="5304" spans="73:82" ht="15.75">
      <c r="BU5304" s="8"/>
      <c r="BZ5304" s="8"/>
      <c r="CD5304" s="8"/>
    </row>
    <row r="5305" spans="73:82" ht="15.75">
      <c r="BU5305" s="8"/>
      <c r="BZ5305" s="8"/>
      <c r="CD5305" s="8"/>
    </row>
    <row r="5306" spans="73:82" ht="15.75">
      <c r="BU5306" s="8"/>
      <c r="BZ5306" s="8"/>
      <c r="CD5306" s="8"/>
    </row>
    <row r="5307" spans="73:82" ht="15.75">
      <c r="BU5307" s="8"/>
      <c r="BZ5307" s="8"/>
      <c r="CD5307" s="8"/>
    </row>
    <row r="5308" spans="73:82" ht="15.75">
      <c r="BU5308" s="8"/>
      <c r="BZ5308" s="8"/>
      <c r="CD5308" s="8"/>
    </row>
    <row r="5309" spans="73:82" ht="15.75">
      <c r="BU5309" s="8"/>
      <c r="BZ5309" s="8"/>
      <c r="CD5309" s="8"/>
    </row>
    <row r="5310" spans="73:82" ht="15.75">
      <c r="BU5310" s="8"/>
      <c r="BZ5310" s="8"/>
      <c r="CD5310" s="8"/>
    </row>
    <row r="5311" spans="73:82" ht="15.75">
      <c r="BU5311" s="8"/>
      <c r="BZ5311" s="8"/>
      <c r="CD5311" s="8"/>
    </row>
    <row r="5312" spans="73:82" ht="15.75">
      <c r="BU5312" s="8"/>
      <c r="BZ5312" s="8"/>
      <c r="CD5312" s="8"/>
    </row>
    <row r="5313" spans="73:82" ht="15.75">
      <c r="BU5313" s="8"/>
      <c r="BZ5313" s="8"/>
      <c r="CD5313" s="8"/>
    </row>
    <row r="5314" spans="73:82" ht="15.75">
      <c r="BU5314" s="8"/>
      <c r="BZ5314" s="8"/>
      <c r="CD5314" s="8"/>
    </row>
    <row r="5315" spans="73:82" ht="15.75">
      <c r="BU5315" s="8"/>
      <c r="BZ5315" s="8"/>
      <c r="CD5315" s="8"/>
    </row>
    <row r="5316" spans="73:82" ht="15.75">
      <c r="BU5316" s="8"/>
      <c r="BZ5316" s="8"/>
      <c r="CD5316" s="8"/>
    </row>
    <row r="5317" spans="73:82" ht="15.75">
      <c r="BU5317" s="8"/>
      <c r="BZ5317" s="8"/>
      <c r="CD5317" s="8"/>
    </row>
    <row r="5318" spans="73:82" ht="15.75">
      <c r="BU5318" s="8"/>
      <c r="BZ5318" s="8"/>
      <c r="CD5318" s="8"/>
    </row>
    <row r="5319" spans="73:82" ht="15.75">
      <c r="BU5319" s="8"/>
      <c r="BZ5319" s="8"/>
      <c r="CD5319" s="8"/>
    </row>
    <row r="5320" spans="73:82" ht="15.75">
      <c r="BU5320" s="8"/>
      <c r="BZ5320" s="8"/>
      <c r="CD5320" s="8"/>
    </row>
    <row r="5321" spans="73:82" ht="15.75">
      <c r="BU5321" s="8"/>
      <c r="BZ5321" s="8"/>
      <c r="CD5321" s="8"/>
    </row>
    <row r="5322" spans="73:82" ht="15.75">
      <c r="BU5322" s="8"/>
      <c r="BZ5322" s="8"/>
      <c r="CD5322" s="8"/>
    </row>
    <row r="5323" spans="73:82" ht="15.75">
      <c r="BU5323" s="8"/>
      <c r="BZ5323" s="8"/>
      <c r="CD5323" s="8"/>
    </row>
    <row r="5324" spans="73:82" ht="15.75">
      <c r="BU5324" s="8"/>
      <c r="BZ5324" s="8"/>
      <c r="CD5324" s="8"/>
    </row>
    <row r="5325" spans="73:82" ht="15.75">
      <c r="BU5325" s="8"/>
      <c r="BZ5325" s="8"/>
      <c r="CD5325" s="8"/>
    </row>
    <row r="5326" spans="73:82" ht="15.75">
      <c r="BU5326" s="8"/>
      <c r="BZ5326" s="8"/>
      <c r="CD5326" s="8"/>
    </row>
    <row r="5327" spans="73:82" ht="15.75">
      <c r="BU5327" s="8"/>
      <c r="BZ5327" s="8"/>
      <c r="CD5327" s="8"/>
    </row>
    <row r="5328" spans="73:82" ht="15.75">
      <c r="BU5328" s="8"/>
      <c r="BZ5328" s="8"/>
      <c r="CD5328" s="8"/>
    </row>
    <row r="5329" spans="73:82" ht="15.75">
      <c r="BU5329" s="8"/>
      <c r="BZ5329" s="8"/>
      <c r="CD5329" s="8"/>
    </row>
    <row r="5330" spans="73:82" ht="15.75">
      <c r="BU5330" s="8"/>
      <c r="BZ5330" s="8"/>
      <c r="CD5330" s="8"/>
    </row>
    <row r="5331" spans="73:82" ht="15.75">
      <c r="BU5331" s="8"/>
      <c r="BZ5331" s="8"/>
      <c r="CD5331" s="8"/>
    </row>
    <row r="5332" spans="73:82" ht="15.75">
      <c r="BU5332" s="8"/>
      <c r="BZ5332" s="8"/>
      <c r="CD5332" s="8"/>
    </row>
    <row r="5333" spans="73:82" ht="15.75">
      <c r="BU5333" s="8"/>
      <c r="BZ5333" s="8"/>
      <c r="CD5333" s="8"/>
    </row>
    <row r="5334" spans="73:82" ht="15.75">
      <c r="BU5334" s="8"/>
      <c r="BZ5334" s="8"/>
      <c r="CD5334" s="8"/>
    </row>
    <row r="5335" spans="73:82" ht="15.75">
      <c r="BU5335" s="8"/>
      <c r="BZ5335" s="8"/>
      <c r="CD5335" s="8"/>
    </row>
    <row r="5336" spans="73:82" ht="15.75">
      <c r="BU5336" s="8"/>
      <c r="BZ5336" s="8"/>
      <c r="CD5336" s="8"/>
    </row>
    <row r="5337" spans="73:82" ht="15.75">
      <c r="BU5337" s="8"/>
      <c r="BZ5337" s="8"/>
      <c r="CD5337" s="8"/>
    </row>
    <row r="5338" spans="73:82" ht="15.75">
      <c r="BU5338" s="8"/>
      <c r="BZ5338" s="8"/>
      <c r="CD5338" s="8"/>
    </row>
    <row r="5339" spans="73:82" ht="15.75">
      <c r="BU5339" s="8"/>
      <c r="BZ5339" s="8"/>
      <c r="CD5339" s="8"/>
    </row>
    <row r="5340" spans="73:82" ht="15.75">
      <c r="BU5340" s="8"/>
      <c r="BZ5340" s="8"/>
      <c r="CD5340" s="8"/>
    </row>
    <row r="5341" spans="73:82" ht="15.75">
      <c r="BU5341" s="8"/>
      <c r="BZ5341" s="8"/>
      <c r="CD5341" s="8"/>
    </row>
    <row r="5342" spans="73:82" ht="15.75">
      <c r="BU5342" s="8"/>
      <c r="BZ5342" s="8"/>
      <c r="CD5342" s="8"/>
    </row>
    <row r="5343" spans="73:82" ht="15.75">
      <c r="BU5343" s="8"/>
      <c r="BZ5343" s="8"/>
      <c r="CD5343" s="8"/>
    </row>
    <row r="5344" spans="73:82" ht="15.75">
      <c r="BU5344" s="8"/>
      <c r="BZ5344" s="8"/>
      <c r="CD5344" s="8"/>
    </row>
    <row r="5345" spans="73:82" ht="15.75">
      <c r="BU5345" s="8"/>
      <c r="BZ5345" s="8"/>
      <c r="CD5345" s="8"/>
    </row>
    <row r="5346" spans="73:82" ht="15.75">
      <c r="BU5346" s="8"/>
      <c r="BZ5346" s="8"/>
      <c r="CD5346" s="8"/>
    </row>
    <row r="5347" spans="73:82" ht="15.75">
      <c r="BU5347" s="8"/>
      <c r="BZ5347" s="8"/>
      <c r="CD5347" s="8"/>
    </row>
    <row r="5348" spans="73:82" ht="15.75">
      <c r="BU5348" s="8"/>
      <c r="BZ5348" s="8"/>
      <c r="CD5348" s="8"/>
    </row>
    <row r="5349" spans="73:82" ht="15.75">
      <c r="BU5349" s="8"/>
      <c r="BZ5349" s="8"/>
      <c r="CD5349" s="8"/>
    </row>
    <row r="5350" spans="73:82" ht="15.75">
      <c r="BU5350" s="8"/>
      <c r="BZ5350" s="8"/>
      <c r="CD5350" s="8"/>
    </row>
    <row r="5351" spans="73:82" ht="15.75">
      <c r="BU5351" s="8"/>
      <c r="BZ5351" s="8"/>
      <c r="CD5351" s="8"/>
    </row>
    <row r="5352" spans="73:82" ht="15.75">
      <c r="BU5352" s="8"/>
      <c r="BZ5352" s="8"/>
      <c r="CD5352" s="8"/>
    </row>
    <row r="5353" spans="73:82" ht="15.75">
      <c r="BU5353" s="8"/>
      <c r="BZ5353" s="8"/>
      <c r="CD5353" s="8"/>
    </row>
    <row r="5354" spans="73:82" ht="15.75">
      <c r="BU5354" s="8"/>
      <c r="BZ5354" s="8"/>
      <c r="CD5354" s="8"/>
    </row>
    <row r="5355" spans="73:82" ht="15.75">
      <c r="BU5355" s="8"/>
      <c r="BZ5355" s="8"/>
      <c r="CD5355" s="8"/>
    </row>
    <row r="5356" spans="73:82" ht="15.75">
      <c r="BU5356" s="8"/>
      <c r="BZ5356" s="8"/>
      <c r="CD5356" s="8"/>
    </row>
    <row r="5357" spans="73:82" ht="15.75">
      <c r="BU5357" s="8"/>
      <c r="BZ5357" s="8"/>
      <c r="CD5357" s="8"/>
    </row>
    <row r="5358" spans="73:82" ht="15.75">
      <c r="BU5358" s="8"/>
      <c r="BZ5358" s="8"/>
      <c r="CD5358" s="8"/>
    </row>
    <row r="5359" spans="73:82" ht="15.75">
      <c r="BU5359" s="8"/>
      <c r="BZ5359" s="8"/>
      <c r="CD5359" s="8"/>
    </row>
    <row r="5360" spans="73:82" ht="15.75">
      <c r="BU5360" s="8"/>
      <c r="BZ5360" s="8"/>
      <c r="CD5360" s="8"/>
    </row>
    <row r="5361" spans="73:82" ht="15.75">
      <c r="BU5361" s="8"/>
      <c r="BZ5361" s="8"/>
      <c r="CD5361" s="8"/>
    </row>
    <row r="5362" spans="73:82" ht="15.75">
      <c r="BU5362" s="8"/>
      <c r="BZ5362" s="8"/>
      <c r="CD5362" s="8"/>
    </row>
    <row r="5363" spans="73:82" ht="15.75">
      <c r="BU5363" s="8"/>
      <c r="BZ5363" s="8"/>
      <c r="CD5363" s="8"/>
    </row>
    <row r="5364" spans="73:82" ht="15.75">
      <c r="BU5364" s="8"/>
      <c r="BZ5364" s="8"/>
      <c r="CD5364" s="8"/>
    </row>
    <row r="5365" spans="73:82" ht="15.75">
      <c r="BU5365" s="8"/>
      <c r="BZ5365" s="8"/>
      <c r="CD5365" s="8"/>
    </row>
    <row r="5366" spans="73:82" ht="15.75">
      <c r="BU5366" s="8"/>
      <c r="BZ5366" s="8"/>
      <c r="CD5366" s="8"/>
    </row>
    <row r="5367" spans="73:82" ht="15.75">
      <c r="BU5367" s="8"/>
      <c r="BZ5367" s="8"/>
      <c r="CD5367" s="8"/>
    </row>
    <row r="5368" spans="73:82" ht="15.75">
      <c r="BU5368" s="8"/>
      <c r="BZ5368" s="8"/>
      <c r="CD5368" s="8"/>
    </row>
    <row r="5369" spans="73:82" ht="15.75">
      <c r="BU5369" s="8"/>
      <c r="BZ5369" s="8"/>
      <c r="CD5369" s="8"/>
    </row>
    <row r="5370" spans="73:82" ht="15.75">
      <c r="BU5370" s="8"/>
      <c r="BZ5370" s="8"/>
      <c r="CD5370" s="8"/>
    </row>
    <row r="5371" spans="73:82" ht="15.75">
      <c r="BU5371" s="8"/>
      <c r="BZ5371" s="8"/>
      <c r="CD5371" s="8"/>
    </row>
    <row r="5372" spans="73:82" ht="15.75">
      <c r="BU5372" s="8"/>
      <c r="BZ5372" s="8"/>
      <c r="CD5372" s="8"/>
    </row>
    <row r="5373" spans="73:82" ht="15.75">
      <c r="BU5373" s="8"/>
      <c r="BZ5373" s="8"/>
      <c r="CD5373" s="8"/>
    </row>
    <row r="5374" spans="73:82" ht="15.75">
      <c r="BU5374" s="8"/>
      <c r="BZ5374" s="8"/>
      <c r="CD5374" s="8"/>
    </row>
    <row r="5375" spans="73:82" ht="15.75">
      <c r="BU5375" s="8"/>
      <c r="BZ5375" s="8"/>
      <c r="CD5375" s="8"/>
    </row>
    <row r="5376" spans="73:82" ht="15.75">
      <c r="BU5376" s="8"/>
      <c r="BZ5376" s="8"/>
      <c r="CD5376" s="8"/>
    </row>
    <row r="5377" spans="73:82" ht="15.75">
      <c r="BU5377" s="8"/>
      <c r="BZ5377" s="8"/>
      <c r="CD5377" s="8"/>
    </row>
    <row r="5378" spans="73:82" ht="15.75">
      <c r="BU5378" s="8"/>
      <c r="BZ5378" s="8"/>
      <c r="CD5378" s="8"/>
    </row>
    <row r="5379" spans="73:82" ht="15.75">
      <c r="BU5379" s="8"/>
      <c r="BZ5379" s="8"/>
      <c r="CD5379" s="8"/>
    </row>
    <row r="5380" spans="73:82" ht="15.75">
      <c r="BU5380" s="8"/>
      <c r="BZ5380" s="8"/>
      <c r="CD5380" s="8"/>
    </row>
    <row r="5381" spans="73:82" ht="15.75">
      <c r="BU5381" s="8"/>
      <c r="BZ5381" s="8"/>
      <c r="CD5381" s="8"/>
    </row>
    <row r="5382" spans="73:82" ht="15.75">
      <c r="BU5382" s="8"/>
      <c r="BZ5382" s="8"/>
      <c r="CD5382" s="8"/>
    </row>
    <row r="5383" spans="73:82" ht="15.75">
      <c r="BU5383" s="8"/>
      <c r="BZ5383" s="8"/>
      <c r="CD5383" s="8"/>
    </row>
    <row r="5384" spans="73:82" ht="15.75">
      <c r="BU5384" s="8"/>
      <c r="BZ5384" s="8"/>
      <c r="CD5384" s="8"/>
    </row>
    <row r="5385" spans="73:82" ht="15.75">
      <c r="BU5385" s="8"/>
      <c r="BZ5385" s="8"/>
      <c r="CD5385" s="8"/>
    </row>
    <row r="5386" spans="73:82" ht="15.75">
      <c r="BU5386" s="8"/>
      <c r="BZ5386" s="8"/>
      <c r="CD5386" s="8"/>
    </row>
    <row r="5387" spans="73:82" ht="15.75">
      <c r="BU5387" s="8"/>
      <c r="BZ5387" s="8"/>
      <c r="CD5387" s="8"/>
    </row>
    <row r="5388" spans="73:82" ht="15.75">
      <c r="BU5388" s="8"/>
      <c r="BZ5388" s="8"/>
      <c r="CD5388" s="8"/>
    </row>
    <row r="5389" spans="73:82" ht="15.75">
      <c r="BU5389" s="8"/>
      <c r="BZ5389" s="8"/>
      <c r="CD5389" s="8"/>
    </row>
    <row r="5390" spans="73:82" ht="15.75">
      <c r="BU5390" s="8"/>
      <c r="BZ5390" s="8"/>
      <c r="CD5390" s="8"/>
    </row>
    <row r="5391" spans="73:82" ht="15.75">
      <c r="BU5391" s="8"/>
      <c r="BZ5391" s="8"/>
      <c r="CD5391" s="8"/>
    </row>
    <row r="5392" spans="73:82" ht="15.75">
      <c r="BU5392" s="8"/>
      <c r="BZ5392" s="8"/>
      <c r="CD5392" s="8"/>
    </row>
    <row r="5393" spans="73:82" ht="15.75">
      <c r="BU5393" s="8"/>
      <c r="BZ5393" s="8"/>
      <c r="CD5393" s="8"/>
    </row>
    <row r="5394" spans="73:82" ht="15.75">
      <c r="BU5394" s="8"/>
      <c r="BZ5394" s="8"/>
      <c r="CD5394" s="8"/>
    </row>
    <row r="5395" spans="73:82" ht="15.75">
      <c r="BU5395" s="8"/>
      <c r="BZ5395" s="8"/>
      <c r="CD5395" s="8"/>
    </row>
    <row r="5396" spans="73:82" ht="15.75">
      <c r="BU5396" s="8"/>
      <c r="BZ5396" s="8"/>
      <c r="CD5396" s="8"/>
    </row>
    <row r="5397" spans="73:82" ht="15.75">
      <c r="BU5397" s="8"/>
      <c r="BZ5397" s="8"/>
      <c r="CD5397" s="8"/>
    </row>
    <row r="5398" spans="73:82" ht="15.75">
      <c r="BU5398" s="8"/>
      <c r="BZ5398" s="8"/>
      <c r="CD5398" s="8"/>
    </row>
    <row r="5399" spans="73:82" ht="15.75">
      <c r="BU5399" s="8"/>
      <c r="BZ5399" s="8"/>
      <c r="CD5399" s="8"/>
    </row>
    <row r="5400" spans="73:82" ht="15.75">
      <c r="BU5400" s="8"/>
      <c r="BZ5400" s="8"/>
      <c r="CD5400" s="8"/>
    </row>
    <row r="5401" spans="73:82" ht="15.75">
      <c r="BU5401" s="8"/>
      <c r="BZ5401" s="8"/>
      <c r="CD5401" s="8"/>
    </row>
    <row r="5402" spans="73:82" ht="15.75">
      <c r="BU5402" s="8"/>
      <c r="BZ5402" s="8"/>
      <c r="CD5402" s="8"/>
    </row>
    <row r="5403" spans="73:82" ht="15.75">
      <c r="BU5403" s="8"/>
      <c r="BZ5403" s="8"/>
      <c r="CD5403" s="8"/>
    </row>
    <row r="5404" spans="73:82" ht="15.75">
      <c r="BU5404" s="8"/>
      <c r="BZ5404" s="8"/>
      <c r="CD5404" s="8"/>
    </row>
    <row r="5405" spans="73:82" ht="15.75">
      <c r="BU5405" s="8"/>
      <c r="BZ5405" s="8"/>
      <c r="CD5405" s="8"/>
    </row>
    <row r="5406" spans="73:82" ht="15.75">
      <c r="BU5406" s="8"/>
      <c r="BZ5406" s="8"/>
      <c r="CD5406" s="8"/>
    </row>
    <row r="5407" spans="73:82" ht="15.75">
      <c r="BU5407" s="8"/>
      <c r="BZ5407" s="8"/>
      <c r="CD5407" s="8"/>
    </row>
    <row r="5408" spans="73:82" ht="15.75">
      <c r="BU5408" s="8"/>
      <c r="BZ5408" s="8"/>
      <c r="CD5408" s="8"/>
    </row>
    <row r="5409" spans="73:82" ht="15.75">
      <c r="BU5409" s="8"/>
      <c r="BZ5409" s="8"/>
      <c r="CD5409" s="8"/>
    </row>
    <row r="5410" spans="73:82" ht="15.75">
      <c r="BU5410" s="8"/>
      <c r="BZ5410" s="8"/>
      <c r="CD5410" s="8"/>
    </row>
    <row r="5411" spans="73:82" ht="15.75">
      <c r="BU5411" s="8"/>
      <c r="BZ5411" s="8"/>
      <c r="CD5411" s="8"/>
    </row>
    <row r="5412" spans="73:82" ht="15.75">
      <c r="BU5412" s="8"/>
      <c r="BZ5412" s="8"/>
      <c r="CD5412" s="8"/>
    </row>
    <row r="5413" spans="73:82" ht="15.75">
      <c r="BU5413" s="8"/>
      <c r="BZ5413" s="8"/>
      <c r="CD5413" s="8"/>
    </row>
    <row r="5414" spans="73:82" ht="15.75">
      <c r="BU5414" s="8"/>
      <c r="BZ5414" s="8"/>
      <c r="CD5414" s="8"/>
    </row>
    <row r="5415" spans="73:82" ht="15.75">
      <c r="BU5415" s="8"/>
      <c r="BZ5415" s="8"/>
      <c r="CD5415" s="8"/>
    </row>
    <row r="5416" spans="73:82" ht="15.75">
      <c r="BU5416" s="8"/>
      <c r="BZ5416" s="8"/>
      <c r="CD5416" s="8"/>
    </row>
    <row r="5417" spans="73:82" ht="15.75">
      <c r="BU5417" s="8"/>
      <c r="BZ5417" s="8"/>
      <c r="CD5417" s="8"/>
    </row>
    <row r="5418" spans="73:82" ht="15.75">
      <c r="BU5418" s="8"/>
      <c r="BZ5418" s="8"/>
      <c r="CD5418" s="8"/>
    </row>
    <row r="5419" spans="73:82" ht="15.75">
      <c r="BU5419" s="8"/>
      <c r="BZ5419" s="8"/>
      <c r="CD5419" s="8"/>
    </row>
    <row r="5420" spans="73:82" ht="15.75">
      <c r="BU5420" s="8"/>
      <c r="BZ5420" s="8"/>
      <c r="CD5420" s="8"/>
    </row>
    <row r="5421" spans="73:82" ht="15.75">
      <c r="BU5421" s="8"/>
      <c r="BZ5421" s="8"/>
      <c r="CD5421" s="8"/>
    </row>
    <row r="5422" spans="73:82" ht="15.75">
      <c r="BU5422" s="8"/>
      <c r="BZ5422" s="8"/>
      <c r="CD5422" s="8"/>
    </row>
    <row r="5423" spans="73:82" ht="15.75">
      <c r="BU5423" s="8"/>
      <c r="BZ5423" s="8"/>
      <c r="CD5423" s="8"/>
    </row>
    <row r="5424" spans="73:82" ht="15.75">
      <c r="BU5424" s="8"/>
      <c r="BZ5424" s="8"/>
      <c r="CD5424" s="8"/>
    </row>
    <row r="5425" spans="73:82" ht="15.75">
      <c r="BU5425" s="8"/>
      <c r="BZ5425" s="8"/>
      <c r="CD5425" s="8"/>
    </row>
    <row r="5426" spans="73:82" ht="15.75">
      <c r="BU5426" s="8"/>
      <c r="BZ5426" s="8"/>
      <c r="CD5426" s="8"/>
    </row>
    <row r="5427" spans="73:82" ht="15.75">
      <c r="BU5427" s="8"/>
      <c r="BZ5427" s="8"/>
      <c r="CD5427" s="8"/>
    </row>
    <row r="5428" spans="73:82" ht="15.75">
      <c r="BU5428" s="8"/>
      <c r="BZ5428" s="8"/>
      <c r="CD5428" s="8"/>
    </row>
    <row r="5429" spans="73:82" ht="15.75">
      <c r="BU5429" s="8"/>
      <c r="BZ5429" s="8"/>
      <c r="CD5429" s="8"/>
    </row>
    <row r="5430" spans="73:82" ht="15.75">
      <c r="BU5430" s="8"/>
      <c r="BZ5430" s="8"/>
      <c r="CD5430" s="8"/>
    </row>
    <row r="5431" spans="73:82" ht="15.75">
      <c r="BU5431" s="8"/>
      <c r="BZ5431" s="8"/>
      <c r="CD5431" s="8"/>
    </row>
    <row r="5432" spans="73:82" ht="15.75">
      <c r="BU5432" s="8"/>
      <c r="BZ5432" s="8"/>
      <c r="CD5432" s="8"/>
    </row>
    <row r="5433" spans="73:82" ht="15.75">
      <c r="BU5433" s="8"/>
      <c r="BZ5433" s="8"/>
      <c r="CD5433" s="8"/>
    </row>
    <row r="5434" spans="73:82" ht="15.75">
      <c r="BU5434" s="8"/>
      <c r="BZ5434" s="8"/>
      <c r="CD5434" s="8"/>
    </row>
    <row r="5435" spans="73:82" ht="15.75">
      <c r="BU5435" s="8"/>
      <c r="BZ5435" s="8"/>
      <c r="CD5435" s="8"/>
    </row>
    <row r="5436" spans="73:82" ht="15.75">
      <c r="BU5436" s="8"/>
      <c r="BZ5436" s="8"/>
      <c r="CD5436" s="8"/>
    </row>
    <row r="5437" spans="73:82" ht="15.75">
      <c r="BU5437" s="8"/>
      <c r="BZ5437" s="8"/>
      <c r="CD5437" s="8"/>
    </row>
    <row r="5438" spans="73:82" ht="15.75">
      <c r="BU5438" s="8"/>
      <c r="BZ5438" s="8"/>
      <c r="CD5438" s="8"/>
    </row>
    <row r="5439" spans="73:82" ht="15.75">
      <c r="BU5439" s="8"/>
      <c r="BZ5439" s="8"/>
      <c r="CD5439" s="8"/>
    </row>
    <row r="5440" spans="73:82" ht="15.75">
      <c r="BU5440" s="8"/>
      <c r="BZ5440" s="8"/>
      <c r="CD5440" s="8"/>
    </row>
    <row r="5441" spans="73:82" ht="15.75">
      <c r="BU5441" s="8"/>
      <c r="BZ5441" s="8"/>
      <c r="CD5441" s="8"/>
    </row>
    <row r="5442" spans="73:82" ht="15.75">
      <c r="BU5442" s="8"/>
      <c r="BZ5442" s="8"/>
      <c r="CD5442" s="8"/>
    </row>
    <row r="5443" spans="73:82" ht="15.75">
      <c r="BU5443" s="8"/>
      <c r="BZ5443" s="8"/>
      <c r="CD5443" s="8"/>
    </row>
    <row r="5444" spans="73:82" ht="15.75">
      <c r="BU5444" s="8"/>
      <c r="BZ5444" s="8"/>
      <c r="CD5444" s="8"/>
    </row>
    <row r="5445" spans="73:82" ht="15.75">
      <c r="BU5445" s="8"/>
      <c r="BZ5445" s="8"/>
      <c r="CD5445" s="8"/>
    </row>
    <row r="5446" spans="73:82" ht="15.75">
      <c r="BU5446" s="8"/>
      <c r="BZ5446" s="8"/>
      <c r="CD5446" s="8"/>
    </row>
    <row r="5447" spans="73:82" ht="15.75">
      <c r="BU5447" s="8"/>
      <c r="BZ5447" s="8"/>
      <c r="CD5447" s="8"/>
    </row>
    <row r="5448" spans="73:82" ht="15.75">
      <c r="BU5448" s="8"/>
      <c r="BZ5448" s="8"/>
      <c r="CD5448" s="8"/>
    </row>
    <row r="5449" spans="73:82" ht="15.75">
      <c r="BU5449" s="8"/>
      <c r="BZ5449" s="8"/>
      <c r="CD5449" s="8"/>
    </row>
    <row r="5450" spans="73:82" ht="15.75">
      <c r="BU5450" s="8"/>
      <c r="BZ5450" s="8"/>
      <c r="CD5450" s="8"/>
    </row>
    <row r="5451" spans="73:82" ht="15.75">
      <c r="BU5451" s="8"/>
      <c r="BZ5451" s="8"/>
      <c r="CD5451" s="8"/>
    </row>
    <row r="5452" spans="73:82" ht="15.75">
      <c r="BU5452" s="8"/>
      <c r="BZ5452" s="8"/>
      <c r="CD5452" s="8"/>
    </row>
    <row r="5453" spans="73:82" ht="15.75">
      <c r="BU5453" s="8"/>
      <c r="BZ5453" s="8"/>
      <c r="CD5453" s="8"/>
    </row>
    <row r="5454" spans="73:82" ht="15.75">
      <c r="BU5454" s="8"/>
      <c r="BZ5454" s="8"/>
      <c r="CD5454" s="8"/>
    </row>
    <row r="5455" spans="73:82" ht="15.75">
      <c r="BU5455" s="8"/>
      <c r="BZ5455" s="8"/>
      <c r="CD5455" s="8"/>
    </row>
    <row r="5456" spans="73:82" ht="15.75">
      <c r="BU5456" s="8"/>
      <c r="BZ5456" s="8"/>
      <c r="CD5456" s="8"/>
    </row>
    <row r="5457" spans="73:82" ht="15.75">
      <c r="BU5457" s="8"/>
      <c r="BZ5457" s="8"/>
      <c r="CD5457" s="8"/>
    </row>
    <row r="5458" spans="73:82" ht="15.75">
      <c r="BU5458" s="8"/>
      <c r="BZ5458" s="8"/>
      <c r="CD5458" s="8"/>
    </row>
    <row r="5459" spans="73:82" ht="15.75">
      <c r="BU5459" s="8"/>
      <c r="BZ5459" s="8"/>
      <c r="CD5459" s="8"/>
    </row>
    <row r="5460" spans="73:82" ht="15.75">
      <c r="BU5460" s="8"/>
      <c r="BZ5460" s="8"/>
      <c r="CD5460" s="8"/>
    </row>
    <row r="5461" spans="73:82" ht="15.75">
      <c r="BU5461" s="8"/>
      <c r="BZ5461" s="8"/>
      <c r="CD5461" s="8"/>
    </row>
    <row r="5462" spans="73:82" ht="15.75">
      <c r="BU5462" s="8"/>
      <c r="BZ5462" s="8"/>
      <c r="CD5462" s="8"/>
    </row>
    <row r="5463" spans="73:82" ht="15.75">
      <c r="BU5463" s="8"/>
      <c r="BZ5463" s="8"/>
      <c r="CD5463" s="8"/>
    </row>
    <row r="5464" spans="73:82" ht="15.75">
      <c r="BU5464" s="8"/>
      <c r="BZ5464" s="8"/>
      <c r="CD5464" s="8"/>
    </row>
    <row r="5465" spans="73:82" ht="15.75">
      <c r="BU5465" s="8"/>
      <c r="BZ5465" s="8"/>
      <c r="CD5465" s="8"/>
    </row>
    <row r="5466" spans="73:82" ht="15.75">
      <c r="BU5466" s="8"/>
      <c r="BZ5466" s="8"/>
      <c r="CD5466" s="8"/>
    </row>
    <row r="5467" spans="73:82" ht="15.75">
      <c r="BU5467" s="8"/>
      <c r="BZ5467" s="8"/>
      <c r="CD5467" s="8"/>
    </row>
    <row r="5468" spans="73:82" ht="15.75">
      <c r="BU5468" s="8"/>
      <c r="BZ5468" s="8"/>
      <c r="CD5468" s="8"/>
    </row>
    <row r="5469" spans="73:82" ht="15.75">
      <c r="BU5469" s="8"/>
      <c r="BZ5469" s="8"/>
      <c r="CD5469" s="8"/>
    </row>
    <row r="5470" spans="73:82" ht="15.75">
      <c r="BU5470" s="8"/>
      <c r="BZ5470" s="8"/>
      <c r="CD5470" s="8"/>
    </row>
    <row r="5471" spans="73:82" ht="15.75">
      <c r="BU5471" s="8"/>
      <c r="BZ5471" s="8"/>
      <c r="CD5471" s="8"/>
    </row>
    <row r="5472" spans="73:82" ht="15.75">
      <c r="BU5472" s="8"/>
      <c r="BZ5472" s="8"/>
      <c r="CD5472" s="8"/>
    </row>
    <row r="5473" spans="73:82" ht="15.75">
      <c r="BU5473" s="8"/>
      <c r="BZ5473" s="8"/>
      <c r="CD5473" s="8"/>
    </row>
    <row r="5474" spans="73:82" ht="15.75">
      <c r="BU5474" s="8"/>
      <c r="BZ5474" s="8"/>
      <c r="CD5474" s="8"/>
    </row>
    <row r="5475" spans="73:82" ht="15.75">
      <c r="BU5475" s="8"/>
      <c r="BZ5475" s="8"/>
      <c r="CD5475" s="8"/>
    </row>
    <row r="5476" spans="73:82" ht="15.75">
      <c r="BU5476" s="8"/>
      <c r="BZ5476" s="8"/>
      <c r="CD5476" s="8"/>
    </row>
    <row r="5477" spans="73:82" ht="15.75">
      <c r="BU5477" s="8"/>
      <c r="BZ5477" s="8"/>
      <c r="CD5477" s="8"/>
    </row>
    <row r="5478" spans="73:82" ht="15.75">
      <c r="BU5478" s="8"/>
      <c r="BZ5478" s="8"/>
      <c r="CD5478" s="8"/>
    </row>
    <row r="5479" spans="73:82" ht="15.75">
      <c r="BU5479" s="8"/>
      <c r="BZ5479" s="8"/>
      <c r="CD5479" s="8"/>
    </row>
    <row r="5480" spans="73:82" ht="15.75">
      <c r="BU5480" s="8"/>
      <c r="BZ5480" s="8"/>
      <c r="CD5480" s="8"/>
    </row>
    <row r="5481" spans="73:82" ht="15.75">
      <c r="BU5481" s="8"/>
      <c r="BZ5481" s="8"/>
      <c r="CD5481" s="8"/>
    </row>
    <row r="5482" spans="73:82" ht="15.75">
      <c r="BU5482" s="8"/>
      <c r="BZ5482" s="8"/>
      <c r="CD5482" s="8"/>
    </row>
    <row r="5483" spans="73:82" ht="15.75">
      <c r="BU5483" s="8"/>
      <c r="BZ5483" s="8"/>
      <c r="CD5483" s="8"/>
    </row>
    <row r="5484" spans="73:82" ht="15.75">
      <c r="BU5484" s="8"/>
      <c r="BZ5484" s="8"/>
      <c r="CD5484" s="8"/>
    </row>
    <row r="5485" spans="73:82" ht="15.75">
      <c r="BU5485" s="8"/>
      <c r="BZ5485" s="8"/>
      <c r="CD5485" s="8"/>
    </row>
    <row r="5486" spans="73:82" ht="15.75">
      <c r="BU5486" s="8"/>
      <c r="BZ5486" s="8"/>
      <c r="CD5486" s="8"/>
    </row>
    <row r="5487" spans="73:82" ht="15.75">
      <c r="BU5487" s="8"/>
      <c r="BZ5487" s="8"/>
      <c r="CD5487" s="8"/>
    </row>
    <row r="5488" spans="73:82" ht="15.75">
      <c r="BU5488" s="8"/>
      <c r="BZ5488" s="8"/>
      <c r="CD5488" s="8"/>
    </row>
    <row r="5489" spans="73:82" ht="15.75">
      <c r="BU5489" s="8"/>
      <c r="BZ5489" s="8"/>
      <c r="CD5489" s="8"/>
    </row>
    <row r="5490" spans="73:82" ht="15.75">
      <c r="BU5490" s="8"/>
      <c r="BZ5490" s="8"/>
      <c r="CD5490" s="8"/>
    </row>
    <row r="5491" spans="73:82" ht="15.75">
      <c r="BU5491" s="8"/>
      <c r="BZ5491" s="8"/>
      <c r="CD5491" s="8"/>
    </row>
    <row r="5492" spans="73:82" ht="15.75">
      <c r="BU5492" s="8"/>
      <c r="BZ5492" s="8"/>
      <c r="CD5492" s="8"/>
    </row>
    <row r="5493" spans="73:82" ht="15.75">
      <c r="BU5493" s="8"/>
      <c r="BZ5493" s="8"/>
      <c r="CD5493" s="8"/>
    </row>
    <row r="5494" spans="73:82" ht="15.75">
      <c r="BU5494" s="8"/>
      <c r="BZ5494" s="8"/>
      <c r="CD5494" s="8"/>
    </row>
    <row r="5495" spans="73:82" ht="15.75">
      <c r="BU5495" s="8"/>
      <c r="BZ5495" s="8"/>
      <c r="CD5495" s="8"/>
    </row>
    <row r="5496" spans="73:82" ht="15.75">
      <c r="BU5496" s="8"/>
      <c r="BZ5496" s="8"/>
      <c r="CD5496" s="8"/>
    </row>
    <row r="5497" spans="73:82" ht="15.75">
      <c r="BU5497" s="8"/>
      <c r="BZ5497" s="8"/>
      <c r="CD5497" s="8"/>
    </row>
    <row r="5498" spans="73:82" ht="15.75">
      <c r="BU5498" s="8"/>
      <c r="BZ5498" s="8"/>
      <c r="CD5498" s="8"/>
    </row>
    <row r="5499" spans="73:82" ht="15.75">
      <c r="BU5499" s="8"/>
      <c r="BZ5499" s="8"/>
      <c r="CD5499" s="8"/>
    </row>
    <row r="5500" spans="73:82" ht="15.75">
      <c r="BU5500" s="8"/>
      <c r="BZ5500" s="8"/>
      <c r="CD5500" s="8"/>
    </row>
    <row r="5501" spans="73:82" ht="15.75">
      <c r="BU5501" s="8"/>
      <c r="BZ5501" s="8"/>
      <c r="CD5501" s="8"/>
    </row>
    <row r="5502" spans="73:82" ht="15.75">
      <c r="BU5502" s="8"/>
      <c r="BZ5502" s="8"/>
      <c r="CD5502" s="8"/>
    </row>
    <row r="5503" spans="73:82" ht="15.75">
      <c r="BU5503" s="8"/>
      <c r="BZ5503" s="8"/>
      <c r="CD5503" s="8"/>
    </row>
    <row r="5504" spans="73:82" ht="15.75">
      <c r="BU5504" s="8"/>
      <c r="BZ5504" s="8"/>
      <c r="CD5504" s="8"/>
    </row>
    <row r="5505" spans="73:82" ht="15.75">
      <c r="BU5505" s="8"/>
      <c r="BZ5505" s="8"/>
      <c r="CD5505" s="8"/>
    </row>
    <row r="5506" spans="73:82" ht="15.75">
      <c r="BU5506" s="8"/>
      <c r="BZ5506" s="8"/>
      <c r="CD5506" s="8"/>
    </row>
    <row r="5507" spans="73:82" ht="15.75">
      <c r="BU5507" s="8"/>
      <c r="BZ5507" s="8"/>
      <c r="CD5507" s="8"/>
    </row>
    <row r="5508" spans="73:82" ht="15.75">
      <c r="BU5508" s="8"/>
      <c r="BZ5508" s="8"/>
      <c r="CD5508" s="8"/>
    </row>
    <row r="5509" spans="73:82" ht="15.75">
      <c r="BU5509" s="8"/>
      <c r="BZ5509" s="8"/>
      <c r="CD5509" s="8"/>
    </row>
    <row r="5510" spans="73:82" ht="15.75">
      <c r="BU5510" s="8"/>
      <c r="BZ5510" s="8"/>
      <c r="CD5510" s="8"/>
    </row>
    <row r="5511" spans="73:82" ht="15.75">
      <c r="BU5511" s="8"/>
      <c r="BZ5511" s="8"/>
      <c r="CD5511" s="8"/>
    </row>
    <row r="5512" spans="73:82" ht="15.75">
      <c r="BU5512" s="8"/>
      <c r="BZ5512" s="8"/>
      <c r="CD5512" s="8"/>
    </row>
    <row r="5513" spans="73:82" ht="15.75">
      <c r="BU5513" s="8"/>
      <c r="BZ5513" s="8"/>
      <c r="CD5513" s="8"/>
    </row>
    <row r="5514" spans="73:82" ht="15.75">
      <c r="BU5514" s="8"/>
      <c r="BZ5514" s="8"/>
      <c r="CD5514" s="8"/>
    </row>
    <row r="5515" spans="73:82" ht="15.75">
      <c r="BU5515" s="8"/>
      <c r="BZ5515" s="8"/>
      <c r="CD5515" s="8"/>
    </row>
    <row r="5516" spans="73:82" ht="15.75">
      <c r="BU5516" s="8"/>
      <c r="BZ5516" s="8"/>
      <c r="CD5516" s="8"/>
    </row>
    <row r="5517" spans="73:82" ht="15.75">
      <c r="BU5517" s="8"/>
      <c r="BZ5517" s="8"/>
      <c r="CD5517" s="8"/>
    </row>
    <row r="5518" spans="73:82" ht="15.75">
      <c r="BU5518" s="8"/>
      <c r="BZ5518" s="8"/>
      <c r="CD5518" s="8"/>
    </row>
    <row r="5519" spans="73:82" ht="15.75">
      <c r="BU5519" s="8"/>
      <c r="BZ5519" s="8"/>
      <c r="CD5519" s="8"/>
    </row>
    <row r="5520" spans="73:82" ht="15.75">
      <c r="BU5520" s="8"/>
      <c r="BZ5520" s="8"/>
      <c r="CD5520" s="8"/>
    </row>
    <row r="5521" spans="73:82" ht="15.75">
      <c r="BU5521" s="8"/>
      <c r="BZ5521" s="8"/>
      <c r="CD5521" s="8"/>
    </row>
    <row r="5522" spans="73:82" ht="15.75">
      <c r="BU5522" s="8"/>
      <c r="BZ5522" s="8"/>
      <c r="CD5522" s="8"/>
    </row>
    <row r="5523" spans="73:82" ht="15.75">
      <c r="BU5523" s="8"/>
      <c r="BZ5523" s="8"/>
      <c r="CD5523" s="8"/>
    </row>
    <row r="5524" spans="73:82" ht="15.75">
      <c r="BU5524" s="8"/>
      <c r="BZ5524" s="8"/>
      <c r="CD5524" s="8"/>
    </row>
    <row r="5525" spans="73:82" ht="15.75">
      <c r="BU5525" s="8"/>
      <c r="BZ5525" s="8"/>
      <c r="CD5525" s="8"/>
    </row>
    <row r="5526" spans="73:82" ht="15.75">
      <c r="BU5526" s="8"/>
      <c r="BZ5526" s="8"/>
      <c r="CD5526" s="8"/>
    </row>
    <row r="5527" spans="73:82" ht="15.75">
      <c r="BU5527" s="8"/>
      <c r="BZ5527" s="8"/>
      <c r="CD5527" s="8"/>
    </row>
    <row r="5528" spans="73:82" ht="15.75">
      <c r="BU5528" s="8"/>
      <c r="BZ5528" s="8"/>
      <c r="CD5528" s="8"/>
    </row>
    <row r="5529" spans="73:82" ht="15.75">
      <c r="BU5529" s="8"/>
      <c r="BZ5529" s="8"/>
      <c r="CD5529" s="8"/>
    </row>
    <row r="5530" spans="73:82" ht="15.75">
      <c r="BU5530" s="8"/>
      <c r="BZ5530" s="8"/>
      <c r="CD5530" s="8"/>
    </row>
    <row r="5531" spans="73:82" ht="15.75">
      <c r="BU5531" s="8"/>
      <c r="BZ5531" s="8"/>
      <c r="CD5531" s="8"/>
    </row>
    <row r="5532" spans="73:82" ht="15.75">
      <c r="BU5532" s="8"/>
      <c r="BZ5532" s="8"/>
      <c r="CD5532" s="8"/>
    </row>
    <row r="5533" spans="73:82" ht="15.75">
      <c r="BU5533" s="8"/>
      <c r="BZ5533" s="8"/>
      <c r="CD5533" s="8"/>
    </row>
    <row r="5534" spans="73:82" ht="15.75">
      <c r="BU5534" s="8"/>
      <c r="BZ5534" s="8"/>
      <c r="CD5534" s="8"/>
    </row>
    <row r="5535" spans="73:82" ht="15.75">
      <c r="BU5535" s="8"/>
      <c r="BZ5535" s="8"/>
      <c r="CD5535" s="8"/>
    </row>
    <row r="5536" spans="73:82" ht="15.75">
      <c r="BU5536" s="8"/>
      <c r="BZ5536" s="8"/>
      <c r="CD5536" s="8"/>
    </row>
    <row r="5537" spans="73:82" ht="15.75">
      <c r="BU5537" s="8"/>
      <c r="BZ5537" s="8"/>
      <c r="CD5537" s="8"/>
    </row>
    <row r="5538" spans="73:82" ht="15.75">
      <c r="BU5538" s="8"/>
      <c r="BZ5538" s="8"/>
      <c r="CD5538" s="8"/>
    </row>
    <row r="5539" spans="73:82" ht="15.75">
      <c r="BU5539" s="8"/>
      <c r="BZ5539" s="8"/>
      <c r="CD5539" s="8"/>
    </row>
    <row r="5540" spans="73:82" ht="15.75">
      <c r="BU5540" s="8"/>
      <c r="BZ5540" s="8"/>
      <c r="CD5540" s="8"/>
    </row>
    <row r="5541" spans="73:82" ht="15.75">
      <c r="BU5541" s="8"/>
      <c r="BZ5541" s="8"/>
      <c r="CD5541" s="8"/>
    </row>
    <row r="5542" spans="73:82" ht="15.75">
      <c r="BU5542" s="8"/>
      <c r="BZ5542" s="8"/>
      <c r="CD5542" s="8"/>
    </row>
    <row r="5543" spans="73:82" ht="15.75">
      <c r="BU5543" s="8"/>
      <c r="BZ5543" s="8"/>
      <c r="CD5543" s="8"/>
    </row>
    <row r="5544" spans="73:82" ht="15.75">
      <c r="BU5544" s="8"/>
      <c r="BZ5544" s="8"/>
      <c r="CD5544" s="8"/>
    </row>
    <row r="5545" spans="73:82" ht="15.75">
      <c r="BU5545" s="8"/>
      <c r="BZ5545" s="8"/>
      <c r="CD5545" s="8"/>
    </row>
    <row r="5546" spans="73:82" ht="15.75">
      <c r="BU5546" s="8"/>
      <c r="BZ5546" s="8"/>
      <c r="CD5546" s="8"/>
    </row>
    <row r="5547" spans="73:82" ht="15.75">
      <c r="BU5547" s="8"/>
      <c r="BZ5547" s="8"/>
      <c r="CD5547" s="8"/>
    </row>
    <row r="5548" spans="73:82" ht="15.75">
      <c r="BU5548" s="8"/>
      <c r="BZ5548" s="8"/>
      <c r="CD5548" s="8"/>
    </row>
    <row r="5549" spans="73:82" ht="15.75">
      <c r="BU5549" s="8"/>
      <c r="BZ5549" s="8"/>
      <c r="CD5549" s="8"/>
    </row>
    <row r="5550" spans="73:82" ht="15.75">
      <c r="BU5550" s="8"/>
      <c r="BZ5550" s="8"/>
      <c r="CD5550" s="8"/>
    </row>
    <row r="5551" spans="73:82" ht="15.75">
      <c r="BU5551" s="8"/>
      <c r="BZ5551" s="8"/>
      <c r="CD5551" s="8"/>
    </row>
    <row r="5552" spans="73:82" ht="15.75">
      <c r="BU5552" s="8"/>
      <c r="BZ5552" s="8"/>
      <c r="CD5552" s="8"/>
    </row>
    <row r="5553" spans="73:82" ht="15.75">
      <c r="BU5553" s="8"/>
      <c r="BZ5553" s="8"/>
      <c r="CD5553" s="8"/>
    </row>
    <row r="5554" spans="73:82" ht="15.75">
      <c r="BU5554" s="8"/>
      <c r="BZ5554" s="8"/>
      <c r="CD5554" s="8"/>
    </row>
    <row r="5555" spans="73:82" ht="15.75">
      <c r="BU5555" s="8"/>
      <c r="BZ5555" s="8"/>
      <c r="CD5555" s="8"/>
    </row>
    <row r="5556" spans="73:82" ht="15.75">
      <c r="BU5556" s="8"/>
      <c r="BZ5556" s="8"/>
      <c r="CD5556" s="8"/>
    </row>
    <row r="5557" spans="73:82" ht="15.75">
      <c r="BU5557" s="8"/>
      <c r="BZ5557" s="8"/>
      <c r="CD5557" s="8"/>
    </row>
    <row r="5558" spans="73:82" ht="15.75">
      <c r="BU5558" s="8"/>
      <c r="BZ5558" s="8"/>
      <c r="CD5558" s="8"/>
    </row>
    <row r="5559" spans="73:82" ht="15.75">
      <c r="BU5559" s="8"/>
      <c r="BZ5559" s="8"/>
      <c r="CD5559" s="8"/>
    </row>
    <row r="5560" spans="73:82" ht="15.75">
      <c r="BU5560" s="8"/>
      <c r="BZ5560" s="8"/>
      <c r="CD5560" s="8"/>
    </row>
    <row r="5561" spans="73:82" ht="15.75">
      <c r="BU5561" s="8"/>
      <c r="BZ5561" s="8"/>
      <c r="CD5561" s="8"/>
    </row>
    <row r="5562" spans="73:82" ht="15.75">
      <c r="BU5562" s="8"/>
      <c r="BZ5562" s="8"/>
      <c r="CD5562" s="8"/>
    </row>
    <row r="5563" spans="73:82" ht="15.75">
      <c r="BU5563" s="8"/>
      <c r="BZ5563" s="8"/>
      <c r="CD5563" s="8"/>
    </row>
    <row r="5564" spans="73:82" ht="15.75">
      <c r="BU5564" s="8"/>
      <c r="BZ5564" s="8"/>
      <c r="CD5564" s="8"/>
    </row>
    <row r="5565" spans="73:82" ht="15.75">
      <c r="BU5565" s="8"/>
      <c r="BZ5565" s="8"/>
      <c r="CD5565" s="8"/>
    </row>
    <row r="5566" spans="73:82" ht="15.75">
      <c r="BU5566" s="8"/>
      <c r="BZ5566" s="8"/>
      <c r="CD5566" s="8"/>
    </row>
    <row r="5567" spans="73:82" ht="15.75">
      <c r="BU5567" s="8"/>
      <c r="BZ5567" s="8"/>
      <c r="CD5567" s="8"/>
    </row>
    <row r="5568" spans="73:82" ht="15.75">
      <c r="BU5568" s="8"/>
      <c r="BZ5568" s="8"/>
      <c r="CD5568" s="8"/>
    </row>
    <row r="5569" spans="73:82" ht="15.75">
      <c r="BU5569" s="8"/>
      <c r="BZ5569" s="8"/>
      <c r="CD5569" s="8"/>
    </row>
    <row r="5570" spans="73:82" ht="15.75">
      <c r="BU5570" s="8"/>
      <c r="BZ5570" s="8"/>
      <c r="CD5570" s="8"/>
    </row>
    <row r="5571" spans="73:82" ht="15.75">
      <c r="BU5571" s="8"/>
      <c r="BZ5571" s="8"/>
      <c r="CD5571" s="8"/>
    </row>
    <row r="5572" spans="73:82" ht="15.75">
      <c r="BU5572" s="8"/>
      <c r="BZ5572" s="8"/>
      <c r="CD5572" s="8"/>
    </row>
    <row r="5573" spans="73:82" ht="15.75">
      <c r="BU5573" s="8"/>
      <c r="BZ5573" s="8"/>
      <c r="CD5573" s="8"/>
    </row>
    <row r="5574" spans="73:82" ht="15.75">
      <c r="BU5574" s="8"/>
      <c r="BZ5574" s="8"/>
      <c r="CD5574" s="8"/>
    </row>
    <row r="5575" spans="73:82" ht="15.75">
      <c r="BU5575" s="8"/>
      <c r="BZ5575" s="8"/>
      <c r="CD5575" s="8"/>
    </row>
    <row r="5576" spans="73:82" ht="15.75">
      <c r="BU5576" s="8"/>
      <c r="BZ5576" s="8"/>
      <c r="CD5576" s="8"/>
    </row>
    <row r="5577" spans="73:82" ht="15.75">
      <c r="BU5577" s="8"/>
      <c r="BZ5577" s="8"/>
      <c r="CD5577" s="8"/>
    </row>
    <row r="5578" spans="73:82" ht="15.75">
      <c r="BU5578" s="8"/>
      <c r="BZ5578" s="8"/>
      <c r="CD5578" s="8"/>
    </row>
    <row r="5579" spans="73:82" ht="15.75">
      <c r="BU5579" s="8"/>
      <c r="BZ5579" s="8"/>
      <c r="CD5579" s="8"/>
    </row>
    <row r="5580" spans="73:82" ht="15.75">
      <c r="BU5580" s="8"/>
      <c r="BZ5580" s="8"/>
      <c r="CD5580" s="8"/>
    </row>
    <row r="5581" spans="73:82" ht="15.75">
      <c r="BU5581" s="8"/>
      <c r="BZ5581" s="8"/>
      <c r="CD5581" s="8"/>
    </row>
    <row r="5582" spans="73:82" ht="15.75">
      <c r="BU5582" s="8"/>
      <c r="BZ5582" s="8"/>
      <c r="CD5582" s="8"/>
    </row>
    <row r="5583" spans="73:82" ht="15.75">
      <c r="BU5583" s="8"/>
      <c r="BZ5583" s="8"/>
      <c r="CD5583" s="8"/>
    </row>
    <row r="5584" spans="73:82" ht="15.75">
      <c r="BU5584" s="8"/>
      <c r="BZ5584" s="8"/>
      <c r="CD5584" s="8"/>
    </row>
    <row r="5585" spans="73:82" ht="15.75">
      <c r="BU5585" s="8"/>
      <c r="BZ5585" s="8"/>
      <c r="CD5585" s="8"/>
    </row>
    <row r="5586" spans="73:82" ht="15.75">
      <c r="BU5586" s="8"/>
      <c r="BZ5586" s="8"/>
      <c r="CD5586" s="8"/>
    </row>
    <row r="5587" spans="73:82" ht="15.75">
      <c r="BU5587" s="8"/>
      <c r="BZ5587" s="8"/>
      <c r="CD5587" s="8"/>
    </row>
    <row r="5588" spans="73:82" ht="15.75">
      <c r="BU5588" s="8"/>
      <c r="BZ5588" s="8"/>
      <c r="CD5588" s="8"/>
    </row>
    <row r="5589" spans="73:82" ht="15.75">
      <c r="BU5589" s="8"/>
      <c r="BZ5589" s="8"/>
      <c r="CD5589" s="8"/>
    </row>
    <row r="5590" spans="73:82" ht="15.75">
      <c r="BU5590" s="8"/>
      <c r="BZ5590" s="8"/>
      <c r="CD5590" s="8"/>
    </row>
    <row r="5591" spans="73:82" ht="15.75">
      <c r="BU5591" s="8"/>
      <c r="BZ5591" s="8"/>
      <c r="CD5591" s="8"/>
    </row>
    <row r="5592" spans="73:82" ht="15.75">
      <c r="BU5592" s="8"/>
      <c r="BZ5592" s="8"/>
      <c r="CD5592" s="8"/>
    </row>
    <row r="5593" spans="73:82" ht="15.75">
      <c r="BU5593" s="8"/>
      <c r="BZ5593" s="8"/>
      <c r="CD5593" s="8"/>
    </row>
    <row r="5594" spans="73:82" ht="15.75">
      <c r="BU5594" s="8"/>
      <c r="BZ5594" s="8"/>
      <c r="CD5594" s="8"/>
    </row>
    <row r="5595" spans="73:82" ht="15.75">
      <c r="BU5595" s="8"/>
      <c r="BZ5595" s="8"/>
      <c r="CD5595" s="8"/>
    </row>
    <row r="5596" spans="73:82" ht="15.75">
      <c r="BU5596" s="8"/>
      <c r="BZ5596" s="8"/>
      <c r="CD5596" s="8"/>
    </row>
    <row r="5597" spans="73:82" ht="15.75">
      <c r="BU5597" s="8"/>
      <c r="BZ5597" s="8"/>
      <c r="CD5597" s="8"/>
    </row>
    <row r="5598" spans="73:82" ht="15.75">
      <c r="BU5598" s="8"/>
      <c r="BZ5598" s="8"/>
      <c r="CD5598" s="8"/>
    </row>
    <row r="5599" spans="73:82" ht="15.75">
      <c r="BU5599" s="8"/>
      <c r="BZ5599" s="8"/>
      <c r="CD5599" s="8"/>
    </row>
    <row r="5600" spans="73:82" ht="15.75">
      <c r="BU5600" s="8"/>
      <c r="BZ5600" s="8"/>
      <c r="CD5600" s="8"/>
    </row>
    <row r="5601" spans="73:82" ht="15.75">
      <c r="BU5601" s="8"/>
      <c r="BZ5601" s="8"/>
      <c r="CD5601" s="8"/>
    </row>
    <row r="5602" spans="73:82" ht="15.75">
      <c r="BU5602" s="8"/>
      <c r="BZ5602" s="8"/>
      <c r="CD5602" s="8"/>
    </row>
    <row r="5603" spans="73:82" ht="15.75">
      <c r="BU5603" s="8"/>
      <c r="BZ5603" s="8"/>
      <c r="CD5603" s="8"/>
    </row>
    <row r="5604" spans="73:82" ht="15.75">
      <c r="BU5604" s="8"/>
      <c r="BZ5604" s="8"/>
      <c r="CD5604" s="8"/>
    </row>
    <row r="5605" spans="73:82" ht="15.75">
      <c r="BU5605" s="8"/>
      <c r="BZ5605" s="8"/>
      <c r="CD5605" s="8"/>
    </row>
    <row r="5606" spans="73:82" ht="15.75">
      <c r="BU5606" s="8"/>
      <c r="BZ5606" s="8"/>
      <c r="CD5606" s="8"/>
    </row>
    <row r="5607" spans="73:82" ht="15.75">
      <c r="BU5607" s="8"/>
      <c r="BZ5607" s="8"/>
      <c r="CD5607" s="8"/>
    </row>
    <row r="5608" spans="73:82" ht="15.75">
      <c r="BU5608" s="8"/>
      <c r="BZ5608" s="8"/>
      <c r="CD5608" s="8"/>
    </row>
    <row r="5609" spans="73:82" ht="15.75">
      <c r="BU5609" s="8"/>
      <c r="BZ5609" s="8"/>
      <c r="CD5609" s="8"/>
    </row>
    <row r="5610" spans="73:82" ht="15.75">
      <c r="BU5610" s="8"/>
      <c r="BZ5610" s="8"/>
      <c r="CD5610" s="8"/>
    </row>
    <row r="5611" spans="73:82" ht="15.75">
      <c r="BU5611" s="8"/>
      <c r="BZ5611" s="8"/>
      <c r="CD5611" s="8"/>
    </row>
    <row r="5612" spans="73:82" ht="15.75">
      <c r="BU5612" s="8"/>
      <c r="BZ5612" s="8"/>
      <c r="CD5612" s="8"/>
    </row>
    <row r="5613" spans="73:82" ht="15.75">
      <c r="BU5613" s="8"/>
      <c r="BZ5613" s="8"/>
      <c r="CD5613" s="8"/>
    </row>
    <row r="5614" spans="73:82" ht="15.75">
      <c r="BU5614" s="8"/>
      <c r="BZ5614" s="8"/>
      <c r="CD5614" s="8"/>
    </row>
    <row r="5615" spans="73:82" ht="15.75">
      <c r="BU5615" s="8"/>
      <c r="BZ5615" s="8"/>
      <c r="CD5615" s="8"/>
    </row>
    <row r="5616" spans="73:82" ht="15.75">
      <c r="BU5616" s="8"/>
      <c r="BZ5616" s="8"/>
      <c r="CD5616" s="8"/>
    </row>
    <row r="5617" spans="73:82" ht="15.75">
      <c r="BU5617" s="8"/>
      <c r="BZ5617" s="8"/>
      <c r="CD5617" s="8"/>
    </row>
    <row r="5618" spans="73:82" ht="15.75">
      <c r="BU5618" s="8"/>
      <c r="BZ5618" s="8"/>
      <c r="CD5618" s="8"/>
    </row>
    <row r="5619" spans="73:82" ht="15.75">
      <c r="BU5619" s="8"/>
      <c r="BZ5619" s="8"/>
      <c r="CD5619" s="8"/>
    </row>
    <row r="5620" spans="73:82" ht="15.75">
      <c r="BU5620" s="8"/>
      <c r="BZ5620" s="8"/>
      <c r="CD5620" s="8"/>
    </row>
    <row r="5621" spans="73:82" ht="15.75">
      <c r="BU5621" s="8"/>
      <c r="BZ5621" s="8"/>
      <c r="CD5621" s="8"/>
    </row>
    <row r="5622" spans="73:82" ht="15.75">
      <c r="BU5622" s="8"/>
      <c r="BZ5622" s="8"/>
      <c r="CD5622" s="8"/>
    </row>
    <row r="5623" spans="73:82" ht="15.75">
      <c r="BU5623" s="8"/>
      <c r="BZ5623" s="8"/>
      <c r="CD5623" s="8"/>
    </row>
    <row r="5624" spans="73:82" ht="15.75">
      <c r="BU5624" s="8"/>
      <c r="BZ5624" s="8"/>
      <c r="CD5624" s="8"/>
    </row>
    <row r="5625" spans="73:82" ht="15.75">
      <c r="BU5625" s="8"/>
      <c r="BZ5625" s="8"/>
      <c r="CD5625" s="8"/>
    </row>
    <row r="5626" spans="73:82" ht="15.75">
      <c r="BU5626" s="8"/>
      <c r="BZ5626" s="8"/>
      <c r="CD5626" s="8"/>
    </row>
    <row r="5627" spans="73:82" ht="15.75">
      <c r="BU5627" s="8"/>
      <c r="BZ5627" s="8"/>
      <c r="CD5627" s="8"/>
    </row>
    <row r="5628" spans="73:82" ht="15.75">
      <c r="BU5628" s="8"/>
      <c r="BZ5628" s="8"/>
      <c r="CD5628" s="8"/>
    </row>
    <row r="5629" spans="73:82" ht="15.75">
      <c r="BU5629" s="8"/>
      <c r="BZ5629" s="8"/>
      <c r="CD5629" s="8"/>
    </row>
    <row r="5630" spans="73:82" ht="15.75">
      <c r="BU5630" s="8"/>
      <c r="BZ5630" s="8"/>
      <c r="CD5630" s="8"/>
    </row>
    <row r="5631" spans="73:82" ht="15.75">
      <c r="BU5631" s="8"/>
      <c r="BZ5631" s="8"/>
      <c r="CD5631" s="8"/>
    </row>
    <row r="5632" spans="73:82" ht="15.75">
      <c r="BU5632" s="8"/>
      <c r="BZ5632" s="8"/>
      <c r="CD5632" s="8"/>
    </row>
    <row r="5633" spans="73:82" ht="15.75">
      <c r="BU5633" s="8"/>
      <c r="BZ5633" s="8"/>
      <c r="CD5633" s="8"/>
    </row>
    <row r="5634" spans="73:82" ht="15.75">
      <c r="BU5634" s="8"/>
      <c r="BZ5634" s="8"/>
      <c r="CD5634" s="8"/>
    </row>
    <row r="5635" spans="73:82" ht="15.75">
      <c r="BU5635" s="8"/>
      <c r="BZ5635" s="8"/>
      <c r="CD5635" s="8"/>
    </row>
    <row r="5636" spans="73:82" ht="15.75">
      <c r="BU5636" s="8"/>
      <c r="BZ5636" s="8"/>
      <c r="CD5636" s="8"/>
    </row>
    <row r="5637" spans="73:82" ht="15.75">
      <c r="BU5637" s="8"/>
      <c r="BZ5637" s="8"/>
      <c r="CD5637" s="8"/>
    </row>
    <row r="5638" spans="73:82" ht="15.75">
      <c r="BU5638" s="8"/>
      <c r="BZ5638" s="8"/>
      <c r="CD5638" s="8"/>
    </row>
    <row r="5639" spans="73:82" ht="15.75">
      <c r="BU5639" s="8"/>
      <c r="BZ5639" s="8"/>
      <c r="CD5639" s="8"/>
    </row>
    <row r="5640" spans="73:82" ht="15.75">
      <c r="BU5640" s="8"/>
      <c r="BZ5640" s="8"/>
      <c r="CD5640" s="8"/>
    </row>
    <row r="5641" spans="73:82" ht="15.75">
      <c r="BU5641" s="8"/>
      <c r="BZ5641" s="8"/>
      <c r="CD5641" s="8"/>
    </row>
    <row r="5642" spans="73:82" ht="15.75">
      <c r="BU5642" s="8"/>
      <c r="BZ5642" s="8"/>
      <c r="CD5642" s="8"/>
    </row>
    <row r="5643" spans="73:82" ht="15.75">
      <c r="BU5643" s="8"/>
      <c r="BZ5643" s="8"/>
      <c r="CD5643" s="8"/>
    </row>
    <row r="5644" spans="73:82" ht="15.75">
      <c r="BU5644" s="8"/>
      <c r="BZ5644" s="8"/>
      <c r="CD5644" s="8"/>
    </row>
    <row r="5645" spans="73:82" ht="15.75">
      <c r="BU5645" s="8"/>
      <c r="BZ5645" s="8"/>
      <c r="CD5645" s="8"/>
    </row>
    <row r="5646" spans="73:82" ht="15.75">
      <c r="BU5646" s="8"/>
      <c r="BZ5646" s="8"/>
      <c r="CD5646" s="8"/>
    </row>
    <row r="5647" spans="73:82" ht="15.75">
      <c r="BU5647" s="8"/>
      <c r="BZ5647" s="8"/>
      <c r="CD5647" s="8"/>
    </row>
    <row r="5648" spans="73:82" ht="15.75">
      <c r="BU5648" s="8"/>
      <c r="BZ5648" s="8"/>
      <c r="CD5648" s="8"/>
    </row>
    <row r="5649" spans="73:82" ht="15.75">
      <c r="BU5649" s="8"/>
      <c r="BZ5649" s="8"/>
      <c r="CD5649" s="8"/>
    </row>
    <row r="5650" spans="73:82" ht="15.75">
      <c r="BU5650" s="8"/>
      <c r="BZ5650" s="8"/>
      <c r="CD5650" s="8"/>
    </row>
    <row r="5651" spans="73:82" ht="15.75">
      <c r="BU5651" s="8"/>
      <c r="BZ5651" s="8"/>
      <c r="CD5651" s="8"/>
    </row>
    <row r="5652" spans="73:82" ht="15.75">
      <c r="BU5652" s="8"/>
      <c r="BZ5652" s="8"/>
      <c r="CD5652" s="8"/>
    </row>
    <row r="5653" spans="73:82" ht="15.75">
      <c r="BU5653" s="8"/>
      <c r="BZ5653" s="8"/>
      <c r="CD5653" s="8"/>
    </row>
    <row r="5654" spans="73:82" ht="15.75">
      <c r="BU5654" s="8"/>
      <c r="BZ5654" s="8"/>
      <c r="CD5654" s="8"/>
    </row>
    <row r="5655" spans="73:82" ht="15.75">
      <c r="BU5655" s="8"/>
      <c r="BZ5655" s="8"/>
      <c r="CD5655" s="8"/>
    </row>
    <row r="5656" spans="73:82" ht="15.75">
      <c r="BU5656" s="8"/>
      <c r="BZ5656" s="8"/>
      <c r="CD5656" s="8"/>
    </row>
    <row r="5657" spans="73:82" ht="15.75">
      <c r="BU5657" s="8"/>
      <c r="BZ5657" s="8"/>
      <c r="CD5657" s="8"/>
    </row>
    <row r="5658" spans="73:82" ht="15.75">
      <c r="BU5658" s="8"/>
      <c r="BZ5658" s="8"/>
      <c r="CD5658" s="8"/>
    </row>
    <row r="5659" spans="73:82" ht="15.75">
      <c r="BU5659" s="8"/>
      <c r="BZ5659" s="8"/>
      <c r="CD5659" s="8"/>
    </row>
    <row r="5660" spans="73:82" ht="15.75">
      <c r="BU5660" s="8"/>
      <c r="BZ5660" s="8"/>
      <c r="CD5660" s="8"/>
    </row>
    <row r="5661" spans="73:82" ht="15.75">
      <c r="BU5661" s="8"/>
      <c r="BZ5661" s="8"/>
      <c r="CD5661" s="8"/>
    </row>
    <row r="5662" spans="73:82" ht="15.75">
      <c r="BU5662" s="8"/>
      <c r="BZ5662" s="8"/>
      <c r="CD5662" s="8"/>
    </row>
    <row r="5663" spans="73:82" ht="15.75">
      <c r="BU5663" s="8"/>
      <c r="BZ5663" s="8"/>
      <c r="CD5663" s="8"/>
    </row>
    <row r="5664" spans="73:82" ht="15.75">
      <c r="BU5664" s="8"/>
      <c r="BZ5664" s="8"/>
      <c r="CD5664" s="8"/>
    </row>
    <row r="5665" spans="73:82" ht="15.75">
      <c r="BU5665" s="8"/>
      <c r="BZ5665" s="8"/>
      <c r="CD5665" s="8"/>
    </row>
    <row r="5666" spans="73:82" ht="15.75">
      <c r="BU5666" s="8"/>
      <c r="BZ5666" s="8"/>
      <c r="CD5666" s="8"/>
    </row>
    <row r="5667" spans="73:82" ht="15.75">
      <c r="BU5667" s="8"/>
      <c r="BZ5667" s="8"/>
      <c r="CD5667" s="8"/>
    </row>
    <row r="5668" spans="73:82" ht="15.75">
      <c r="BU5668" s="8"/>
      <c r="BZ5668" s="8"/>
      <c r="CD5668" s="8"/>
    </row>
    <row r="5669" spans="73:82" ht="15.75">
      <c r="BU5669" s="8"/>
      <c r="BZ5669" s="8"/>
      <c r="CD5669" s="8"/>
    </row>
    <row r="5670" spans="73:82" ht="15.75">
      <c r="BU5670" s="8"/>
      <c r="BZ5670" s="8"/>
      <c r="CD5670" s="8"/>
    </row>
    <row r="5671" spans="73:82" ht="15.75">
      <c r="BU5671" s="8"/>
      <c r="BZ5671" s="8"/>
      <c r="CD5671" s="8"/>
    </row>
    <row r="5672" spans="73:82" ht="15.75">
      <c r="BU5672" s="8"/>
      <c r="BZ5672" s="8"/>
      <c r="CD5672" s="8"/>
    </row>
    <row r="5673" spans="73:82" ht="15.75">
      <c r="BU5673" s="8"/>
      <c r="BZ5673" s="8"/>
      <c r="CD5673" s="8"/>
    </row>
    <row r="5674" spans="73:82" ht="15.75">
      <c r="BU5674" s="8"/>
      <c r="BZ5674" s="8"/>
      <c r="CD5674" s="8"/>
    </row>
    <row r="5675" spans="73:82" ht="15.75">
      <c r="BU5675" s="8"/>
      <c r="BZ5675" s="8"/>
      <c r="CD5675" s="8"/>
    </row>
    <row r="5676" spans="73:82" ht="15.75">
      <c r="BU5676" s="8"/>
      <c r="BZ5676" s="8"/>
      <c r="CD5676" s="8"/>
    </row>
    <row r="5677" spans="73:82" ht="15.75">
      <c r="BU5677" s="8"/>
      <c r="BZ5677" s="8"/>
      <c r="CD5677" s="8"/>
    </row>
    <row r="5678" spans="73:82" ht="15.75">
      <c r="BU5678" s="8"/>
      <c r="BZ5678" s="8"/>
      <c r="CD5678" s="8"/>
    </row>
    <row r="5679" spans="73:82" ht="15.75">
      <c r="BU5679" s="8"/>
      <c r="BZ5679" s="8"/>
      <c r="CD5679" s="8"/>
    </row>
    <row r="5680" spans="73:82" ht="15.75">
      <c r="BU5680" s="8"/>
      <c r="BZ5680" s="8"/>
      <c r="CD5680" s="8"/>
    </row>
    <row r="5681" spans="73:82" ht="15.75">
      <c r="BU5681" s="8"/>
      <c r="BZ5681" s="8"/>
      <c r="CD5681" s="8"/>
    </row>
    <row r="5682" spans="73:82" ht="15.75">
      <c r="BU5682" s="8"/>
      <c r="BZ5682" s="8"/>
      <c r="CD5682" s="8"/>
    </row>
    <row r="5683" spans="73:82" ht="15.75">
      <c r="BU5683" s="8"/>
      <c r="BZ5683" s="8"/>
      <c r="CD5683" s="8"/>
    </row>
    <row r="5684" spans="73:82" ht="15.75">
      <c r="BU5684" s="8"/>
      <c r="BZ5684" s="8"/>
      <c r="CD5684" s="8"/>
    </row>
    <row r="5685" spans="73:82" ht="15.75">
      <c r="BU5685" s="8"/>
      <c r="BZ5685" s="8"/>
      <c r="CD5685" s="8"/>
    </row>
    <row r="5686" spans="73:82" ht="15.75">
      <c r="BU5686" s="8"/>
      <c r="BZ5686" s="8"/>
      <c r="CD5686" s="8"/>
    </row>
    <row r="5687" spans="73:82" ht="15.75">
      <c r="BU5687" s="8"/>
      <c r="BZ5687" s="8"/>
      <c r="CD5687" s="8"/>
    </row>
    <row r="5688" spans="73:82" ht="15.75">
      <c r="BU5688" s="8"/>
      <c r="BZ5688" s="8"/>
      <c r="CD5688" s="8"/>
    </row>
    <row r="5689" spans="73:82" ht="15.75">
      <c r="BU5689" s="8"/>
      <c r="BZ5689" s="8"/>
      <c r="CD5689" s="8"/>
    </row>
    <row r="5690" spans="73:82" ht="15.75">
      <c r="BU5690" s="8"/>
      <c r="BZ5690" s="8"/>
      <c r="CD5690" s="8"/>
    </row>
    <row r="5691" spans="73:82" ht="15.75">
      <c r="BU5691" s="8"/>
      <c r="BZ5691" s="8"/>
      <c r="CD5691" s="8"/>
    </row>
    <row r="5692" spans="73:82" ht="15.75">
      <c r="BU5692" s="8"/>
      <c r="BZ5692" s="8"/>
      <c r="CD5692" s="8"/>
    </row>
    <row r="5693" spans="73:82" ht="15.75">
      <c r="BU5693" s="8"/>
      <c r="BZ5693" s="8"/>
      <c r="CD5693" s="8"/>
    </row>
    <row r="5694" spans="73:82" ht="15.75">
      <c r="BU5694" s="8"/>
      <c r="BZ5694" s="8"/>
      <c r="CD5694" s="8"/>
    </row>
    <row r="5695" spans="73:82" ht="15.75">
      <c r="BU5695" s="8"/>
      <c r="BZ5695" s="8"/>
      <c r="CD5695" s="8"/>
    </row>
    <row r="5696" spans="73:82" ht="15.75">
      <c r="BU5696" s="8"/>
      <c r="BZ5696" s="8"/>
      <c r="CD5696" s="8"/>
    </row>
    <row r="5697" spans="73:82" ht="15.75">
      <c r="BU5697" s="8"/>
      <c r="BZ5697" s="8"/>
      <c r="CD5697" s="8"/>
    </row>
    <row r="5698" spans="73:82" ht="15.75">
      <c r="BU5698" s="8"/>
      <c r="BZ5698" s="8"/>
      <c r="CD5698" s="8"/>
    </row>
    <row r="5699" spans="73:82" ht="15.75">
      <c r="BU5699" s="8"/>
      <c r="BZ5699" s="8"/>
      <c r="CD5699" s="8"/>
    </row>
    <row r="5700" spans="73:82" ht="15.75">
      <c r="BU5700" s="8"/>
      <c r="BZ5700" s="8"/>
      <c r="CD5700" s="8"/>
    </row>
    <row r="5701" spans="73:82" ht="15.75">
      <c r="BU5701" s="8"/>
      <c r="BZ5701" s="8"/>
      <c r="CD5701" s="8"/>
    </row>
    <row r="5702" spans="73:82" ht="15.75">
      <c r="BU5702" s="8"/>
      <c r="BZ5702" s="8"/>
      <c r="CD5702" s="8"/>
    </row>
    <row r="5703" spans="73:82" ht="15.75">
      <c r="BU5703" s="8"/>
      <c r="BZ5703" s="8"/>
      <c r="CD5703" s="8"/>
    </row>
    <row r="5704" spans="73:82" ht="15.75">
      <c r="BU5704" s="8"/>
      <c r="BZ5704" s="8"/>
      <c r="CD5704" s="8"/>
    </row>
    <row r="5705" spans="73:82" ht="15.75">
      <c r="BU5705" s="8"/>
      <c r="BZ5705" s="8"/>
      <c r="CD5705" s="8"/>
    </row>
    <row r="5706" spans="73:82" ht="15.75">
      <c r="BU5706" s="8"/>
      <c r="BZ5706" s="8"/>
      <c r="CD5706" s="8"/>
    </row>
    <row r="5707" spans="73:82" ht="15.75">
      <c r="BU5707" s="8"/>
      <c r="BZ5707" s="8"/>
      <c r="CD5707" s="8"/>
    </row>
    <row r="5708" spans="73:82" ht="15.75">
      <c r="BU5708" s="8"/>
      <c r="BZ5708" s="8"/>
      <c r="CD5708" s="8"/>
    </row>
    <row r="5709" spans="73:82" ht="15.75">
      <c r="BU5709" s="8"/>
      <c r="BZ5709" s="8"/>
      <c r="CD5709" s="8"/>
    </row>
    <row r="5710" spans="73:82" ht="15.75">
      <c r="BU5710" s="8"/>
      <c r="BZ5710" s="8"/>
      <c r="CD5710" s="8"/>
    </row>
    <row r="5711" spans="73:82" ht="15.75">
      <c r="BU5711" s="8"/>
      <c r="BZ5711" s="8"/>
      <c r="CD5711" s="8"/>
    </row>
    <row r="5712" spans="73:82" ht="15.75">
      <c r="BU5712" s="8"/>
      <c r="BZ5712" s="8"/>
      <c r="CD5712" s="8"/>
    </row>
    <row r="5713" spans="73:82" ht="15.75">
      <c r="BU5713" s="8"/>
      <c r="BZ5713" s="8"/>
      <c r="CD5713" s="8"/>
    </row>
    <row r="5714" spans="73:82" ht="15.75">
      <c r="BU5714" s="8"/>
      <c r="BZ5714" s="8"/>
      <c r="CD5714" s="8"/>
    </row>
    <row r="5715" spans="73:82" ht="15.75">
      <c r="BU5715" s="8"/>
      <c r="BZ5715" s="8"/>
      <c r="CD5715" s="8"/>
    </row>
    <row r="5716" spans="73:82" ht="15.75">
      <c r="BU5716" s="8"/>
      <c r="BZ5716" s="8"/>
      <c r="CD5716" s="8"/>
    </row>
    <row r="5717" spans="73:82" ht="15.75">
      <c r="BU5717" s="8"/>
      <c r="BZ5717" s="8"/>
      <c r="CD5717" s="8"/>
    </row>
    <row r="5718" spans="73:82" ht="15.75">
      <c r="BU5718" s="8"/>
      <c r="BZ5718" s="8"/>
      <c r="CD5718" s="8"/>
    </row>
    <row r="5719" spans="73:82" ht="15.75">
      <c r="BU5719" s="8"/>
      <c r="BZ5719" s="8"/>
      <c r="CD5719" s="8"/>
    </row>
    <row r="5720" spans="73:82" ht="15.75">
      <c r="BU5720" s="8"/>
      <c r="BZ5720" s="8"/>
      <c r="CD5720" s="8"/>
    </row>
    <row r="5721" spans="73:82" ht="15.75">
      <c r="BU5721" s="8"/>
      <c r="BZ5721" s="8"/>
      <c r="CD5721" s="8"/>
    </row>
    <row r="5722" spans="73:82" ht="15.75">
      <c r="BU5722" s="8"/>
      <c r="BZ5722" s="8"/>
      <c r="CD5722" s="8"/>
    </row>
    <row r="5723" spans="73:82" ht="15.75">
      <c r="BU5723" s="8"/>
      <c r="BZ5723" s="8"/>
      <c r="CD5723" s="8"/>
    </row>
    <row r="5724" spans="73:82" ht="15.75">
      <c r="BU5724" s="8"/>
      <c r="BZ5724" s="8"/>
      <c r="CD5724" s="8"/>
    </row>
    <row r="5725" spans="73:82" ht="15.75">
      <c r="BU5725" s="8"/>
      <c r="BZ5725" s="8"/>
      <c r="CD5725" s="8"/>
    </row>
    <row r="5726" spans="73:82" ht="15.75">
      <c r="BU5726" s="8"/>
      <c r="BZ5726" s="8"/>
      <c r="CD5726" s="8"/>
    </row>
    <row r="5727" spans="73:82" ht="15.75">
      <c r="BU5727" s="8"/>
      <c r="BZ5727" s="8"/>
      <c r="CD5727" s="8"/>
    </row>
    <row r="5728" spans="73:82" ht="15.75">
      <c r="BU5728" s="8"/>
      <c r="BZ5728" s="8"/>
      <c r="CD5728" s="8"/>
    </row>
    <row r="5729" spans="73:82" ht="15.75">
      <c r="BU5729" s="8"/>
      <c r="BZ5729" s="8"/>
      <c r="CD5729" s="8"/>
    </row>
    <row r="5730" spans="73:82" ht="15.75">
      <c r="BU5730" s="8"/>
      <c r="BZ5730" s="8"/>
      <c r="CD5730" s="8"/>
    </row>
    <row r="5731" spans="73:82" ht="15.75">
      <c r="BU5731" s="8"/>
      <c r="BZ5731" s="8"/>
      <c r="CD5731" s="8"/>
    </row>
    <row r="5732" spans="73:82" ht="15.75">
      <c r="BU5732" s="8"/>
      <c r="BZ5732" s="8"/>
      <c r="CD5732" s="8"/>
    </row>
    <row r="5733" spans="73:82" ht="15.75">
      <c r="BU5733" s="8"/>
      <c r="BZ5733" s="8"/>
      <c r="CD5733" s="8"/>
    </row>
    <row r="5734" spans="73:82" ht="15.75">
      <c r="BU5734" s="8"/>
      <c r="BZ5734" s="8"/>
      <c r="CD5734" s="8"/>
    </row>
    <row r="5735" spans="73:82" ht="15.75">
      <c r="BU5735" s="8"/>
      <c r="BZ5735" s="8"/>
      <c r="CD5735" s="8"/>
    </row>
    <row r="5736" spans="73:82" ht="15.75">
      <c r="BU5736" s="8"/>
      <c r="BZ5736" s="8"/>
      <c r="CD5736" s="8"/>
    </row>
    <row r="5737" spans="73:82" ht="15.75">
      <c r="BU5737" s="8"/>
      <c r="BZ5737" s="8"/>
      <c r="CD5737" s="8"/>
    </row>
    <row r="5738" spans="73:82" ht="15.75">
      <c r="BU5738" s="8"/>
      <c r="BZ5738" s="8"/>
      <c r="CD5738" s="8"/>
    </row>
    <row r="5739" spans="73:82" ht="15.75">
      <c r="BU5739" s="8"/>
      <c r="BZ5739" s="8"/>
      <c r="CD5739" s="8"/>
    </row>
    <row r="5740" spans="73:82" ht="15.75">
      <c r="BU5740" s="8"/>
      <c r="BZ5740" s="8"/>
      <c r="CD5740" s="8"/>
    </row>
    <row r="5741" spans="73:82" ht="15.75">
      <c r="BU5741" s="8"/>
      <c r="BZ5741" s="8"/>
      <c r="CD5741" s="8"/>
    </row>
    <row r="5742" spans="73:82" ht="15.75">
      <c r="BU5742" s="8"/>
      <c r="BZ5742" s="8"/>
      <c r="CD5742" s="8"/>
    </row>
    <row r="5743" spans="73:82" ht="15.75">
      <c r="BU5743" s="8"/>
      <c r="BZ5743" s="8"/>
      <c r="CD5743" s="8"/>
    </row>
    <row r="5744" spans="73:82" ht="15.75">
      <c r="BU5744" s="8"/>
      <c r="BZ5744" s="8"/>
      <c r="CD5744" s="8"/>
    </row>
    <row r="5745" spans="73:82" ht="15.75">
      <c r="BU5745" s="8"/>
      <c r="BZ5745" s="8"/>
      <c r="CD5745" s="8"/>
    </row>
    <row r="5746" spans="73:82" ht="15.75">
      <c r="BU5746" s="8"/>
      <c r="BZ5746" s="8"/>
      <c r="CD5746" s="8"/>
    </row>
    <row r="5747" spans="73:82" ht="15.75">
      <c r="BU5747" s="8"/>
      <c r="BZ5747" s="8"/>
      <c r="CD5747" s="8"/>
    </row>
    <row r="5748" spans="73:82" ht="15.75">
      <c r="BU5748" s="8"/>
      <c r="BZ5748" s="8"/>
      <c r="CD5748" s="8"/>
    </row>
    <row r="5749" spans="73:82" ht="15.75">
      <c r="BU5749" s="8"/>
      <c r="BZ5749" s="8"/>
      <c r="CD5749" s="8"/>
    </row>
    <row r="5750" spans="73:82" ht="15.75">
      <c r="BU5750" s="8"/>
      <c r="BZ5750" s="8"/>
      <c r="CD5750" s="8"/>
    </row>
    <row r="5751" spans="73:82" ht="15.75">
      <c r="BU5751" s="8"/>
      <c r="BZ5751" s="8"/>
      <c r="CD5751" s="8"/>
    </row>
    <row r="5752" spans="73:82" ht="15.75">
      <c r="BU5752" s="8"/>
      <c r="BZ5752" s="8"/>
      <c r="CD5752" s="8"/>
    </row>
    <row r="5753" spans="73:82" ht="15.75">
      <c r="BU5753" s="8"/>
      <c r="BZ5753" s="8"/>
      <c r="CD5753" s="8"/>
    </row>
    <row r="5754" spans="73:82" ht="15.75">
      <c r="BU5754" s="8"/>
      <c r="BZ5754" s="8"/>
      <c r="CD5754" s="8"/>
    </row>
    <row r="5755" spans="73:82" ht="15.75">
      <c r="BU5755" s="8"/>
      <c r="BZ5755" s="8"/>
      <c r="CD5755" s="8"/>
    </row>
    <row r="5756" spans="73:82" ht="15.75">
      <c r="BU5756" s="8"/>
      <c r="BZ5756" s="8"/>
      <c r="CD5756" s="8"/>
    </row>
    <row r="5757" spans="73:82" ht="15.75">
      <c r="BU5757" s="8"/>
      <c r="BZ5757" s="8"/>
      <c r="CD5757" s="8"/>
    </row>
    <row r="5758" spans="73:82" ht="15.75">
      <c r="BU5758" s="8"/>
      <c r="BZ5758" s="8"/>
      <c r="CD5758" s="8"/>
    </row>
    <row r="5759" spans="73:82" ht="15.75">
      <c r="BU5759" s="8"/>
      <c r="BZ5759" s="8"/>
      <c r="CD5759" s="8"/>
    </row>
    <row r="5760" spans="73:82" ht="15.75">
      <c r="BU5760" s="8"/>
      <c r="BZ5760" s="8"/>
      <c r="CD5760" s="8"/>
    </row>
    <row r="5761" spans="73:82" ht="15.75">
      <c r="BU5761" s="8"/>
      <c r="BZ5761" s="8"/>
      <c r="CD5761" s="8"/>
    </row>
    <row r="5762" spans="73:82" ht="15.75">
      <c r="BU5762" s="8"/>
      <c r="BZ5762" s="8"/>
      <c r="CD5762" s="8"/>
    </row>
    <row r="5763" spans="73:82" ht="15.75">
      <c r="BU5763" s="8"/>
      <c r="BZ5763" s="8"/>
      <c r="CD5763" s="8"/>
    </row>
    <row r="5764" spans="73:82" ht="15.75">
      <c r="BU5764" s="8"/>
      <c r="BZ5764" s="8"/>
      <c r="CD5764" s="8"/>
    </row>
    <row r="5765" spans="73:82" ht="15.75">
      <c r="BU5765" s="8"/>
      <c r="BZ5765" s="8"/>
      <c r="CD5765" s="8"/>
    </row>
    <row r="5766" spans="73:82" ht="15.75">
      <c r="BU5766" s="8"/>
      <c r="BZ5766" s="8"/>
      <c r="CD5766" s="8"/>
    </row>
    <row r="5767" spans="73:82" ht="15.75">
      <c r="BU5767" s="8"/>
      <c r="BZ5767" s="8"/>
      <c r="CD5767" s="8"/>
    </row>
    <row r="5768" spans="73:82" ht="15.75">
      <c r="BU5768" s="8"/>
      <c r="BZ5768" s="8"/>
      <c r="CD5768" s="8"/>
    </row>
    <row r="5769" spans="73:82" ht="15.75">
      <c r="BU5769" s="8"/>
      <c r="BZ5769" s="8"/>
      <c r="CD5769" s="8"/>
    </row>
    <row r="5770" spans="73:82" ht="15.75">
      <c r="BU5770" s="8"/>
      <c r="BZ5770" s="8"/>
      <c r="CD5770" s="8"/>
    </row>
    <row r="5771" spans="73:82" ht="15.75">
      <c r="BU5771" s="8"/>
      <c r="BZ5771" s="8"/>
      <c r="CD5771" s="8"/>
    </row>
    <row r="5772" spans="73:82" ht="15.75">
      <c r="BU5772" s="8"/>
      <c r="BZ5772" s="8"/>
      <c r="CD5772" s="8"/>
    </row>
    <row r="5773" spans="73:82" ht="15.75">
      <c r="BU5773" s="8"/>
      <c r="BZ5773" s="8"/>
      <c r="CD5773" s="8"/>
    </row>
    <row r="5774" spans="73:82" ht="15.75">
      <c r="BU5774" s="8"/>
      <c r="BZ5774" s="8"/>
      <c r="CD5774" s="8"/>
    </row>
    <row r="5775" spans="73:82" ht="15.75">
      <c r="BU5775" s="8"/>
      <c r="BZ5775" s="8"/>
      <c r="CD5775" s="8"/>
    </row>
    <row r="5776" spans="73:82" ht="15.75">
      <c r="BU5776" s="8"/>
      <c r="BZ5776" s="8"/>
      <c r="CD5776" s="8"/>
    </row>
    <row r="5777" spans="73:82" ht="15.75">
      <c r="BU5777" s="8"/>
      <c r="BZ5777" s="8"/>
      <c r="CD5777" s="8"/>
    </row>
    <row r="5778" spans="73:82" ht="15.75">
      <c r="BU5778" s="8"/>
      <c r="BZ5778" s="8"/>
      <c r="CD5778" s="8"/>
    </row>
    <row r="5779" spans="73:82" ht="15.75">
      <c r="BU5779" s="8"/>
      <c r="BZ5779" s="8"/>
      <c r="CD5779" s="8"/>
    </row>
    <row r="5780" spans="73:82" ht="15.75">
      <c r="BU5780" s="8"/>
      <c r="BZ5780" s="8"/>
      <c r="CD5780" s="8"/>
    </row>
    <row r="5781" spans="73:82" ht="15.75">
      <c r="BU5781" s="8"/>
      <c r="BZ5781" s="8"/>
      <c r="CD5781" s="8"/>
    </row>
    <row r="5782" spans="73:82" ht="15.75">
      <c r="BU5782" s="8"/>
      <c r="BZ5782" s="8"/>
      <c r="CD5782" s="8"/>
    </row>
    <row r="5783" spans="73:82" ht="15.75">
      <c r="BU5783" s="8"/>
      <c r="BZ5783" s="8"/>
      <c r="CD5783" s="8"/>
    </row>
    <row r="5784" spans="73:82" ht="15.75">
      <c r="BU5784" s="8"/>
      <c r="BZ5784" s="8"/>
      <c r="CD5784" s="8"/>
    </row>
    <row r="5785" spans="73:82" ht="15.75">
      <c r="BU5785" s="8"/>
      <c r="BZ5785" s="8"/>
      <c r="CD5785" s="8"/>
    </row>
    <row r="5786" spans="73:82" ht="15.75">
      <c r="BU5786" s="8"/>
      <c r="BZ5786" s="8"/>
      <c r="CD5786" s="8"/>
    </row>
    <row r="5787" spans="73:82" ht="15.75">
      <c r="BU5787" s="8"/>
      <c r="BZ5787" s="8"/>
      <c r="CD5787" s="8"/>
    </row>
    <row r="5788" spans="73:82" ht="15.75">
      <c r="BU5788" s="8"/>
      <c r="BZ5788" s="8"/>
      <c r="CD5788" s="8"/>
    </row>
    <row r="5789" spans="73:82" ht="15.75">
      <c r="BU5789" s="8"/>
      <c r="BZ5789" s="8"/>
      <c r="CD5789" s="8"/>
    </row>
    <row r="5790" spans="73:82" ht="15.75">
      <c r="BU5790" s="8"/>
      <c r="BZ5790" s="8"/>
      <c r="CD5790" s="8"/>
    </row>
    <row r="5791" spans="73:82" ht="15.75">
      <c r="BU5791" s="8"/>
      <c r="BZ5791" s="8"/>
      <c r="CD5791" s="8"/>
    </row>
    <row r="5792" spans="73:82" ht="15.75">
      <c r="BU5792" s="8"/>
      <c r="BZ5792" s="8"/>
      <c r="CD5792" s="8"/>
    </row>
    <row r="5793" spans="73:82" ht="15.75">
      <c r="BU5793" s="8"/>
      <c r="BZ5793" s="8"/>
      <c r="CD5793" s="8"/>
    </row>
    <row r="5794" spans="73:82" ht="15.75">
      <c r="BU5794" s="8"/>
      <c r="BZ5794" s="8"/>
      <c r="CD5794" s="8"/>
    </row>
    <row r="5795" spans="73:82" ht="15.75">
      <c r="BU5795" s="8"/>
      <c r="BZ5795" s="8"/>
      <c r="CD5795" s="8"/>
    </row>
    <row r="5796" spans="73:82" ht="15.75">
      <c r="BU5796" s="8"/>
      <c r="BZ5796" s="8"/>
      <c r="CD5796" s="8"/>
    </row>
    <row r="5797" spans="73:82" ht="15.75">
      <c r="BU5797" s="8"/>
      <c r="BZ5797" s="8"/>
      <c r="CD5797" s="8"/>
    </row>
    <row r="5798" spans="73:82" ht="15.75">
      <c r="BU5798" s="8"/>
      <c r="BZ5798" s="8"/>
      <c r="CD5798" s="8"/>
    </row>
    <row r="5799" spans="73:82" ht="15.75">
      <c r="BU5799" s="8"/>
      <c r="BZ5799" s="8"/>
      <c r="CD5799" s="8"/>
    </row>
    <row r="5800" spans="73:82" ht="15.75">
      <c r="BU5800" s="8"/>
      <c r="BZ5800" s="8"/>
      <c r="CD5800" s="8"/>
    </row>
    <row r="5801" spans="73:82" ht="15.75">
      <c r="BU5801" s="8"/>
      <c r="BZ5801" s="8"/>
      <c r="CD5801" s="8"/>
    </row>
    <row r="5802" spans="73:82" ht="15.75">
      <c r="BU5802" s="8"/>
      <c r="BZ5802" s="8"/>
      <c r="CD5802" s="8"/>
    </row>
    <row r="5803" spans="73:82" ht="15.75">
      <c r="BU5803" s="8"/>
      <c r="BZ5803" s="8"/>
      <c r="CD5803" s="8"/>
    </row>
    <row r="5804" spans="73:82" ht="15.75">
      <c r="BU5804" s="8"/>
      <c r="BZ5804" s="8"/>
      <c r="CD5804" s="8"/>
    </row>
    <row r="5805" spans="73:82" ht="15.75">
      <c r="BU5805" s="8"/>
      <c r="BZ5805" s="8"/>
      <c r="CD5805" s="8"/>
    </row>
    <row r="5806" spans="73:82" ht="15.75">
      <c r="BU5806" s="8"/>
      <c r="BZ5806" s="8"/>
      <c r="CD5806" s="8"/>
    </row>
    <row r="5807" spans="73:82" ht="15.75">
      <c r="BU5807" s="8"/>
      <c r="BZ5807" s="8"/>
      <c r="CD5807" s="8"/>
    </row>
    <row r="5808" spans="73:82" ht="15.75">
      <c r="BU5808" s="8"/>
      <c r="BZ5808" s="8"/>
      <c r="CD5808" s="8"/>
    </row>
    <row r="5809" spans="73:82" ht="15.75">
      <c r="BU5809" s="8"/>
      <c r="BZ5809" s="8"/>
      <c r="CD5809" s="8"/>
    </row>
    <row r="5810" spans="73:82" ht="15.75">
      <c r="BU5810" s="8"/>
      <c r="BZ5810" s="8"/>
      <c r="CD5810" s="8"/>
    </row>
    <row r="5811" spans="73:82" ht="15.75">
      <c r="BU5811" s="8"/>
      <c r="BZ5811" s="8"/>
      <c r="CD5811" s="8"/>
    </row>
    <row r="5812" spans="73:82" ht="15.75">
      <c r="BU5812" s="8"/>
      <c r="BZ5812" s="8"/>
      <c r="CD5812" s="8"/>
    </row>
    <row r="5813" spans="73:82" ht="15.75">
      <c r="BU5813" s="8"/>
      <c r="BZ5813" s="8"/>
      <c r="CD5813" s="8"/>
    </row>
    <row r="5814" spans="73:82" ht="15.75">
      <c r="BU5814" s="8"/>
      <c r="BZ5814" s="8"/>
      <c r="CD5814" s="8"/>
    </row>
    <row r="5815" spans="73:82" ht="15.75">
      <c r="BU5815" s="8"/>
      <c r="BZ5815" s="8"/>
      <c r="CD5815" s="8"/>
    </row>
    <row r="5816" spans="73:82" ht="15.75">
      <c r="BU5816" s="8"/>
      <c r="BZ5816" s="8"/>
      <c r="CD5816" s="8"/>
    </row>
    <row r="5817" spans="73:82" ht="15.75">
      <c r="BU5817" s="8"/>
      <c r="BZ5817" s="8"/>
      <c r="CD5817" s="8"/>
    </row>
    <row r="5818" spans="73:82" ht="15.75">
      <c r="BU5818" s="8"/>
      <c r="BZ5818" s="8"/>
      <c r="CD5818" s="8"/>
    </row>
    <row r="5819" spans="73:82" ht="15.75">
      <c r="BU5819" s="8"/>
      <c r="BZ5819" s="8"/>
      <c r="CD5819" s="8"/>
    </row>
    <row r="5820" spans="73:82" ht="15.75">
      <c r="BU5820" s="8"/>
      <c r="BZ5820" s="8"/>
      <c r="CD5820" s="8"/>
    </row>
    <row r="5821" spans="73:82" ht="15.75">
      <c r="BU5821" s="8"/>
      <c r="BZ5821" s="8"/>
      <c r="CD5821" s="8"/>
    </row>
    <row r="5822" spans="73:82" ht="15.75">
      <c r="BU5822" s="8"/>
      <c r="BZ5822" s="8"/>
      <c r="CD5822" s="8"/>
    </row>
    <row r="5823" spans="73:82" ht="15.75">
      <c r="BU5823" s="8"/>
      <c r="BZ5823" s="8"/>
      <c r="CD5823" s="8"/>
    </row>
    <row r="5824" spans="73:82" ht="15.75">
      <c r="BU5824" s="8"/>
      <c r="BZ5824" s="8"/>
      <c r="CD5824" s="8"/>
    </row>
    <row r="5825" spans="73:82" ht="15.75">
      <c r="BU5825" s="8"/>
      <c r="BZ5825" s="8"/>
      <c r="CD5825" s="8"/>
    </row>
    <row r="5826" spans="73:82" ht="15.75">
      <c r="BU5826" s="8"/>
      <c r="BZ5826" s="8"/>
      <c r="CD5826" s="8"/>
    </row>
    <row r="5827" spans="73:82" ht="15.75">
      <c r="BU5827" s="8"/>
      <c r="BZ5827" s="8"/>
      <c r="CD5827" s="8"/>
    </row>
    <row r="5828" spans="73:82" ht="15.75">
      <c r="BU5828" s="8"/>
      <c r="BZ5828" s="8"/>
      <c r="CD5828" s="8"/>
    </row>
    <row r="5829" spans="73:82" ht="15.75">
      <c r="BU5829" s="8"/>
      <c r="BZ5829" s="8"/>
      <c r="CD5829" s="8"/>
    </row>
    <row r="5830" spans="73:82" ht="15.75">
      <c r="BU5830" s="8"/>
      <c r="BZ5830" s="8"/>
      <c r="CD5830" s="8"/>
    </row>
    <row r="5831" spans="73:82" ht="15.75">
      <c r="BU5831" s="8"/>
      <c r="BZ5831" s="8"/>
      <c r="CD5831" s="8"/>
    </row>
    <row r="5832" spans="73:82" ht="15.75">
      <c r="BU5832" s="8"/>
      <c r="BZ5832" s="8"/>
      <c r="CD5832" s="8"/>
    </row>
    <row r="5833" spans="73:82" ht="15.75">
      <c r="BU5833" s="8"/>
      <c r="BZ5833" s="8"/>
      <c r="CD5833" s="8"/>
    </row>
    <row r="5834" spans="73:82" ht="15.75">
      <c r="BU5834" s="8"/>
      <c r="BZ5834" s="8"/>
      <c r="CD5834" s="8"/>
    </row>
    <row r="5835" spans="73:82" ht="15.75">
      <c r="BU5835" s="8"/>
      <c r="BZ5835" s="8"/>
      <c r="CD5835" s="8"/>
    </row>
    <row r="5836" spans="73:82" ht="15.75">
      <c r="BU5836" s="8"/>
      <c r="BZ5836" s="8"/>
      <c r="CD5836" s="8"/>
    </row>
    <row r="5837" spans="73:82" ht="15.75">
      <c r="BU5837" s="8"/>
      <c r="BZ5837" s="8"/>
      <c r="CD5837" s="8"/>
    </row>
    <row r="5838" spans="73:82" ht="15.75">
      <c r="BU5838" s="8"/>
      <c r="BZ5838" s="8"/>
      <c r="CD5838" s="8"/>
    </row>
    <row r="5839" spans="73:82" ht="15.75">
      <c r="BU5839" s="8"/>
      <c r="BZ5839" s="8"/>
      <c r="CD5839" s="8"/>
    </row>
    <row r="5840" spans="73:82" ht="15.75">
      <c r="BU5840" s="8"/>
      <c r="BZ5840" s="8"/>
      <c r="CD5840" s="8"/>
    </row>
    <row r="5841" spans="73:82" ht="15.75">
      <c r="BU5841" s="8"/>
      <c r="BZ5841" s="8"/>
      <c r="CD5841" s="8"/>
    </row>
    <row r="5842" spans="73:82" ht="15.75">
      <c r="BU5842" s="8"/>
      <c r="BZ5842" s="8"/>
      <c r="CD5842" s="8"/>
    </row>
    <row r="5843" spans="73:82" ht="15.75">
      <c r="BU5843" s="8"/>
      <c r="BZ5843" s="8"/>
      <c r="CD5843" s="8"/>
    </row>
    <row r="5844" spans="73:82" ht="15.75">
      <c r="BU5844" s="8"/>
      <c r="BZ5844" s="8"/>
      <c r="CD5844" s="8"/>
    </row>
    <row r="5845" spans="73:82" ht="15.75">
      <c r="BU5845" s="8"/>
      <c r="BZ5845" s="8"/>
      <c r="CD5845" s="8"/>
    </row>
    <row r="5846" spans="73:82" ht="15.75">
      <c r="BU5846" s="8"/>
      <c r="BZ5846" s="8"/>
      <c r="CD5846" s="8"/>
    </row>
    <row r="5847" spans="73:82" ht="15.75">
      <c r="BU5847" s="8"/>
      <c r="BZ5847" s="8"/>
      <c r="CD5847" s="8"/>
    </row>
    <row r="5848" spans="73:82" ht="15.75">
      <c r="BU5848" s="8"/>
      <c r="BZ5848" s="8"/>
      <c r="CD5848" s="8"/>
    </row>
    <row r="5849" spans="73:82" ht="15.75">
      <c r="BU5849" s="8"/>
      <c r="BZ5849" s="8"/>
      <c r="CD5849" s="8"/>
    </row>
    <row r="5850" spans="73:82" ht="15.75">
      <c r="BU5850" s="8"/>
      <c r="BZ5850" s="8"/>
      <c r="CD5850" s="8"/>
    </row>
    <row r="5851" spans="73:82" ht="15.75">
      <c r="BU5851" s="8"/>
      <c r="BZ5851" s="8"/>
      <c r="CD5851" s="8"/>
    </row>
    <row r="5852" spans="73:82" ht="15.75">
      <c r="BU5852" s="8"/>
      <c r="BZ5852" s="8"/>
      <c r="CD5852" s="8"/>
    </row>
    <row r="5853" spans="73:82" ht="15.75">
      <c r="BU5853" s="8"/>
      <c r="BZ5853" s="8"/>
      <c r="CD5853" s="8"/>
    </row>
    <row r="5854" spans="73:82" ht="15.75">
      <c r="BU5854" s="8"/>
      <c r="BZ5854" s="8"/>
      <c r="CD5854" s="8"/>
    </row>
    <row r="5855" spans="73:82" ht="15.75">
      <c r="BU5855" s="8"/>
      <c r="BZ5855" s="8"/>
      <c r="CD5855" s="8"/>
    </row>
    <row r="5856" spans="73:82" ht="15.75">
      <c r="BU5856" s="8"/>
      <c r="BZ5856" s="8"/>
      <c r="CD5856" s="8"/>
    </row>
    <row r="5857" spans="73:82" ht="15.75">
      <c r="BU5857" s="8"/>
      <c r="BZ5857" s="8"/>
      <c r="CD5857" s="8"/>
    </row>
    <row r="5858" spans="73:82" ht="15.75">
      <c r="BU5858" s="8"/>
      <c r="BZ5858" s="8"/>
      <c r="CD5858" s="8"/>
    </row>
    <row r="5859" spans="73:82" ht="15.75">
      <c r="BU5859" s="8"/>
      <c r="BZ5859" s="8"/>
      <c r="CD5859" s="8"/>
    </row>
    <row r="5860" spans="73:82" ht="15.75">
      <c r="BU5860" s="8"/>
      <c r="BZ5860" s="8"/>
      <c r="CD5860" s="8"/>
    </row>
    <row r="5861" spans="73:82" ht="15.75">
      <c r="BU5861" s="8"/>
      <c r="BZ5861" s="8"/>
      <c r="CD5861" s="8"/>
    </row>
    <row r="5862" spans="73:82" ht="15.75">
      <c r="BU5862" s="8"/>
      <c r="BZ5862" s="8"/>
      <c r="CD5862" s="8"/>
    </row>
    <row r="5863" spans="73:82" ht="15.75">
      <c r="BU5863" s="8"/>
      <c r="BZ5863" s="8"/>
      <c r="CD5863" s="8"/>
    </row>
    <row r="5864" spans="73:82" ht="15.75">
      <c r="BU5864" s="8"/>
      <c r="BZ5864" s="8"/>
      <c r="CD5864" s="8"/>
    </row>
    <row r="5865" spans="73:82" ht="15.75">
      <c r="BU5865" s="8"/>
      <c r="BZ5865" s="8"/>
      <c r="CD5865" s="8"/>
    </row>
    <row r="5866" spans="73:82" ht="15.75">
      <c r="BU5866" s="8"/>
      <c r="BZ5866" s="8"/>
      <c r="CD5866" s="8"/>
    </row>
    <row r="5867" spans="73:82" ht="15.75">
      <c r="BU5867" s="8"/>
      <c r="BZ5867" s="8"/>
      <c r="CD5867" s="8"/>
    </row>
    <row r="5868" spans="73:82" ht="15.75">
      <c r="BU5868" s="8"/>
      <c r="BZ5868" s="8"/>
      <c r="CD5868" s="8"/>
    </row>
    <row r="5869" spans="73:82" ht="15.75">
      <c r="BU5869" s="8"/>
      <c r="BZ5869" s="8"/>
      <c r="CD5869" s="8"/>
    </row>
    <row r="5870" spans="73:82" ht="15.75">
      <c r="BU5870" s="8"/>
      <c r="BZ5870" s="8"/>
      <c r="CD5870" s="8"/>
    </row>
    <row r="5871" spans="73:82" ht="15.75">
      <c r="BU5871" s="8"/>
      <c r="BZ5871" s="8"/>
      <c r="CD5871" s="8"/>
    </row>
    <row r="5872" spans="73:82" ht="15.75">
      <c r="BU5872" s="8"/>
      <c r="BZ5872" s="8"/>
      <c r="CD5872" s="8"/>
    </row>
    <row r="5873" spans="73:82" ht="15.75">
      <c r="BU5873" s="8"/>
      <c r="BZ5873" s="8"/>
      <c r="CD5873" s="8"/>
    </row>
    <row r="5874" spans="73:82" ht="15.75">
      <c r="BU5874" s="8"/>
      <c r="BZ5874" s="8"/>
      <c r="CD5874" s="8"/>
    </row>
    <row r="5875" spans="73:82" ht="15.75">
      <c r="BU5875" s="8"/>
      <c r="BZ5875" s="8"/>
      <c r="CD5875" s="8"/>
    </row>
    <row r="5876" spans="73:82" ht="15.75">
      <c r="BU5876" s="8"/>
      <c r="BZ5876" s="8"/>
      <c r="CD5876" s="8"/>
    </row>
    <row r="5877" spans="73:82" ht="15.75">
      <c r="BU5877" s="8"/>
      <c r="BZ5877" s="8"/>
      <c r="CD5877" s="8"/>
    </row>
    <row r="5878" spans="73:82" ht="15.75">
      <c r="BU5878" s="8"/>
      <c r="BZ5878" s="8"/>
      <c r="CD5878" s="8"/>
    </row>
    <row r="5879" spans="73:82" ht="15.75">
      <c r="BU5879" s="8"/>
      <c r="BZ5879" s="8"/>
      <c r="CD5879" s="8"/>
    </row>
    <row r="5880" spans="73:82" ht="15.75">
      <c r="BU5880" s="8"/>
      <c r="BZ5880" s="8"/>
      <c r="CD5880" s="8"/>
    </row>
    <row r="5881" spans="73:82" ht="15.75">
      <c r="BU5881" s="8"/>
      <c r="BZ5881" s="8"/>
      <c r="CD5881" s="8"/>
    </row>
    <row r="5882" spans="73:82" ht="15.75">
      <c r="BU5882" s="8"/>
      <c r="BZ5882" s="8"/>
      <c r="CD5882" s="8"/>
    </row>
    <row r="5883" spans="73:82" ht="15.75">
      <c r="BU5883" s="8"/>
      <c r="BZ5883" s="8"/>
      <c r="CD5883" s="8"/>
    </row>
    <row r="5884" spans="73:82" ht="15.75">
      <c r="BU5884" s="8"/>
      <c r="BZ5884" s="8"/>
      <c r="CD5884" s="8"/>
    </row>
    <row r="5885" spans="73:82" ht="15.75">
      <c r="BU5885" s="8"/>
      <c r="BZ5885" s="8"/>
      <c r="CD5885" s="8"/>
    </row>
    <row r="5886" spans="73:82" ht="15.75">
      <c r="BU5886" s="8"/>
      <c r="BZ5886" s="8"/>
      <c r="CD5886" s="8"/>
    </row>
    <row r="5887" spans="73:82" ht="15.75">
      <c r="BU5887" s="8"/>
      <c r="BZ5887" s="8"/>
      <c r="CD5887" s="8"/>
    </row>
    <row r="5888" spans="73:82" ht="15.75">
      <c r="BU5888" s="8"/>
      <c r="BZ5888" s="8"/>
      <c r="CD5888" s="8"/>
    </row>
    <row r="5889" spans="73:82" ht="15.75">
      <c r="BU5889" s="8"/>
      <c r="BZ5889" s="8"/>
      <c r="CD5889" s="8"/>
    </row>
    <row r="5890" spans="73:82" ht="15.75">
      <c r="BU5890" s="8"/>
      <c r="BZ5890" s="8"/>
      <c r="CD5890" s="8"/>
    </row>
    <row r="5891" spans="73:82" ht="15.75">
      <c r="BU5891" s="8"/>
      <c r="BZ5891" s="8"/>
      <c r="CD5891" s="8"/>
    </row>
    <row r="5892" spans="73:82" ht="15.75">
      <c r="BU5892" s="8"/>
      <c r="BZ5892" s="8"/>
      <c r="CD5892" s="8"/>
    </row>
    <row r="5893" spans="73:82" ht="15.75">
      <c r="BU5893" s="8"/>
      <c r="BZ5893" s="8"/>
      <c r="CD5893" s="8"/>
    </row>
    <row r="5894" spans="73:82" ht="15.75">
      <c r="BU5894" s="8"/>
      <c r="BZ5894" s="8"/>
      <c r="CD5894" s="8"/>
    </row>
    <row r="5895" spans="73:82" ht="15.75">
      <c r="BU5895" s="8"/>
      <c r="BZ5895" s="8"/>
      <c r="CD5895" s="8"/>
    </row>
    <row r="5896" spans="73:82" ht="15.75">
      <c r="BU5896" s="8"/>
      <c r="BZ5896" s="8"/>
      <c r="CD5896" s="8"/>
    </row>
    <row r="5897" spans="73:82" ht="15.75">
      <c r="BU5897" s="8"/>
      <c r="BZ5897" s="8"/>
      <c r="CD5897" s="8"/>
    </row>
    <row r="5898" spans="73:82" ht="15.75">
      <c r="BU5898" s="8"/>
      <c r="BZ5898" s="8"/>
      <c r="CD5898" s="8"/>
    </row>
    <row r="5899" spans="73:82" ht="15.75">
      <c r="BU5899" s="8"/>
      <c r="BZ5899" s="8"/>
      <c r="CD5899" s="8"/>
    </row>
    <row r="5900" spans="73:82" ht="15.75">
      <c r="BU5900" s="8"/>
      <c r="BZ5900" s="8"/>
      <c r="CD5900" s="8"/>
    </row>
    <row r="5901" spans="73:82" ht="15.75">
      <c r="BU5901" s="8"/>
      <c r="BZ5901" s="8"/>
      <c r="CD5901" s="8"/>
    </row>
    <row r="5902" spans="73:82" ht="15.75">
      <c r="BU5902" s="8"/>
      <c r="BZ5902" s="8"/>
      <c r="CD5902" s="8"/>
    </row>
    <row r="5903" spans="73:82" ht="15.75">
      <c r="BU5903" s="8"/>
      <c r="BZ5903" s="8"/>
      <c r="CD5903" s="8"/>
    </row>
    <row r="5904" spans="73:82" ht="15.75">
      <c r="BU5904" s="8"/>
      <c r="BZ5904" s="8"/>
      <c r="CD5904" s="8"/>
    </row>
    <row r="5905" spans="73:82" ht="15.75">
      <c r="BU5905" s="8"/>
      <c r="BZ5905" s="8"/>
      <c r="CD5905" s="8"/>
    </row>
    <row r="5906" spans="73:82" ht="15.75">
      <c r="BU5906" s="8"/>
      <c r="BZ5906" s="8"/>
      <c r="CD5906" s="8"/>
    </row>
    <row r="5907" spans="73:82" ht="15.75">
      <c r="BU5907" s="8"/>
      <c r="BZ5907" s="8"/>
      <c r="CD5907" s="8"/>
    </row>
    <row r="5908" spans="73:82" ht="15.75">
      <c r="BU5908" s="8"/>
      <c r="BZ5908" s="8"/>
      <c r="CD5908" s="8"/>
    </row>
    <row r="5909" spans="73:82" ht="15.75">
      <c r="BU5909" s="8"/>
      <c r="BZ5909" s="8"/>
      <c r="CD5909" s="8"/>
    </row>
    <row r="5910" spans="73:82" ht="15.75">
      <c r="BU5910" s="8"/>
      <c r="BZ5910" s="8"/>
      <c r="CD5910" s="8"/>
    </row>
    <row r="5911" spans="73:82" ht="15.75">
      <c r="BU5911" s="8"/>
      <c r="BZ5911" s="8"/>
      <c r="CD5911" s="8"/>
    </row>
    <row r="5912" spans="73:82" ht="15.75">
      <c r="BU5912" s="8"/>
      <c r="BZ5912" s="8"/>
      <c r="CD5912" s="8"/>
    </row>
    <row r="5913" spans="73:82" ht="15.75">
      <c r="BU5913" s="8"/>
      <c r="BZ5913" s="8"/>
      <c r="CD5913" s="8"/>
    </row>
    <row r="5914" spans="73:82" ht="15.75">
      <c r="BU5914" s="8"/>
      <c r="BZ5914" s="8"/>
      <c r="CD5914" s="8"/>
    </row>
    <row r="5915" spans="73:82" ht="15.75">
      <c r="BU5915" s="8"/>
      <c r="BZ5915" s="8"/>
      <c r="CD5915" s="8"/>
    </row>
    <row r="5916" spans="73:82" ht="15.75">
      <c r="BU5916" s="8"/>
      <c r="BZ5916" s="8"/>
      <c r="CD5916" s="8"/>
    </row>
    <row r="5917" spans="73:82" ht="15.75">
      <c r="BU5917" s="8"/>
      <c r="BZ5917" s="8"/>
      <c r="CD5917" s="8"/>
    </row>
    <row r="5918" spans="73:82" ht="15.75">
      <c r="BU5918" s="8"/>
      <c r="BZ5918" s="8"/>
      <c r="CD5918" s="8"/>
    </row>
    <row r="5919" spans="73:82" ht="15.75">
      <c r="BU5919" s="8"/>
      <c r="BZ5919" s="8"/>
      <c r="CD5919" s="8"/>
    </row>
    <row r="5920" spans="73:82" ht="15.75">
      <c r="BU5920" s="8"/>
      <c r="BZ5920" s="8"/>
      <c r="CD5920" s="8"/>
    </row>
    <row r="5921" spans="73:82" ht="15.75">
      <c r="BU5921" s="8"/>
      <c r="BZ5921" s="8"/>
      <c r="CD5921" s="8"/>
    </row>
    <row r="5922" spans="73:82" ht="15.75">
      <c r="BU5922" s="8"/>
      <c r="BZ5922" s="8"/>
      <c r="CD5922" s="8"/>
    </row>
    <row r="5923" spans="73:82" ht="15.75">
      <c r="BU5923" s="8"/>
      <c r="BZ5923" s="8"/>
      <c r="CD5923" s="8"/>
    </row>
    <row r="5924" spans="73:82" ht="15.75">
      <c r="BU5924" s="8"/>
      <c r="BZ5924" s="8"/>
      <c r="CD5924" s="8"/>
    </row>
    <row r="5925" spans="73:82" ht="15.75">
      <c r="BU5925" s="8"/>
      <c r="BZ5925" s="8"/>
      <c r="CD5925" s="8"/>
    </row>
    <row r="5926" spans="73:82" ht="15.75">
      <c r="BU5926" s="8"/>
      <c r="BZ5926" s="8"/>
      <c r="CD5926" s="8"/>
    </row>
    <row r="5927" spans="73:82" ht="15.75">
      <c r="BU5927" s="8"/>
      <c r="BZ5927" s="8"/>
      <c r="CD5927" s="8"/>
    </row>
    <row r="5928" spans="73:82" ht="15.75">
      <c r="BU5928" s="8"/>
      <c r="BZ5928" s="8"/>
      <c r="CD5928" s="8"/>
    </row>
    <row r="5929" spans="73:82" ht="15.75">
      <c r="BU5929" s="8"/>
      <c r="BZ5929" s="8"/>
      <c r="CD5929" s="8"/>
    </row>
    <row r="5930" spans="73:82" ht="15.75">
      <c r="BU5930" s="8"/>
      <c r="BZ5930" s="8"/>
      <c r="CD5930" s="8"/>
    </row>
    <row r="5931" spans="73:82" ht="15.75">
      <c r="BU5931" s="8"/>
      <c r="BZ5931" s="8"/>
      <c r="CD5931" s="8"/>
    </row>
    <row r="5932" spans="73:82" ht="15.75">
      <c r="BU5932" s="8"/>
      <c r="BZ5932" s="8"/>
      <c r="CD5932" s="8"/>
    </row>
    <row r="5933" spans="73:82" ht="15.75">
      <c r="BU5933" s="8"/>
      <c r="BZ5933" s="8"/>
      <c r="CD5933" s="8"/>
    </row>
    <row r="5934" spans="73:82" ht="15.75">
      <c r="BU5934" s="8"/>
      <c r="BZ5934" s="8"/>
      <c r="CD5934" s="8"/>
    </row>
    <row r="5935" spans="73:82" ht="15.75">
      <c r="BU5935" s="8"/>
      <c r="BZ5935" s="8"/>
      <c r="CD5935" s="8"/>
    </row>
    <row r="5936" spans="73:82" ht="15.75">
      <c r="BU5936" s="8"/>
      <c r="BZ5936" s="8"/>
      <c r="CD5936" s="8"/>
    </row>
    <row r="5937" spans="73:82" ht="15.75">
      <c r="BU5937" s="8"/>
      <c r="BZ5937" s="8"/>
      <c r="CD5937" s="8"/>
    </row>
    <row r="5938" spans="73:82" ht="15.75">
      <c r="BU5938" s="8"/>
      <c r="BZ5938" s="8"/>
      <c r="CD5938" s="8"/>
    </row>
    <row r="5939" spans="73:82" ht="15.75">
      <c r="BU5939" s="8"/>
      <c r="BZ5939" s="8"/>
      <c r="CD5939" s="8"/>
    </row>
    <row r="5940" spans="73:82" ht="15.75">
      <c r="BU5940" s="8"/>
      <c r="BZ5940" s="8"/>
      <c r="CD5940" s="8"/>
    </row>
    <row r="5941" spans="73:82" ht="15.75">
      <c r="BU5941" s="8"/>
      <c r="BZ5941" s="8"/>
      <c r="CD5941" s="8"/>
    </row>
    <row r="5942" spans="73:82" ht="15.75">
      <c r="BU5942" s="8"/>
      <c r="BZ5942" s="8"/>
      <c r="CD5942" s="8"/>
    </row>
    <row r="5943" spans="73:82" ht="15.75">
      <c r="BU5943" s="8"/>
      <c r="BZ5943" s="8"/>
      <c r="CD5943" s="8"/>
    </row>
    <row r="5944" spans="73:82" ht="15.75">
      <c r="BU5944" s="8"/>
      <c r="BZ5944" s="8"/>
      <c r="CD5944" s="8"/>
    </row>
    <row r="5945" spans="73:82" ht="15.75">
      <c r="BU5945" s="8"/>
      <c r="BZ5945" s="8"/>
      <c r="CD5945" s="8"/>
    </row>
    <row r="5946" spans="73:82" ht="15.75">
      <c r="BU5946" s="8"/>
      <c r="BZ5946" s="8"/>
      <c r="CD5946" s="8"/>
    </row>
    <row r="5947" spans="73:82" ht="15.75">
      <c r="BU5947" s="8"/>
      <c r="BZ5947" s="8"/>
      <c r="CD5947" s="8"/>
    </row>
    <row r="5948" spans="73:82" ht="15.75">
      <c r="BU5948" s="8"/>
      <c r="BZ5948" s="8"/>
      <c r="CD5948" s="8"/>
    </row>
    <row r="5949" spans="73:82" ht="15.75">
      <c r="BU5949" s="8"/>
      <c r="BZ5949" s="8"/>
      <c r="CD5949" s="8"/>
    </row>
    <row r="5950" spans="73:82" ht="15.75">
      <c r="BU5950" s="8"/>
      <c r="BZ5950" s="8"/>
      <c r="CD5950" s="8"/>
    </row>
    <row r="5951" spans="73:82" ht="15.75">
      <c r="BU5951" s="8"/>
      <c r="BZ5951" s="8"/>
      <c r="CD5951" s="8"/>
    </row>
    <row r="5952" spans="73:82" ht="15.75">
      <c r="BU5952" s="8"/>
      <c r="BZ5952" s="8"/>
      <c r="CD5952" s="8"/>
    </row>
    <row r="5953" spans="73:82" ht="15.75">
      <c r="BU5953" s="8"/>
      <c r="BZ5953" s="8"/>
      <c r="CD5953" s="8"/>
    </row>
    <row r="5954" spans="73:82" ht="15.75">
      <c r="BU5954" s="8"/>
      <c r="BZ5954" s="8"/>
      <c r="CD5954" s="8"/>
    </row>
    <row r="5955" spans="73:82" ht="15.75">
      <c r="BU5955" s="8"/>
      <c r="BZ5955" s="8"/>
      <c r="CD5955" s="8"/>
    </row>
    <row r="5956" spans="73:82" ht="15.75">
      <c r="BU5956" s="8"/>
      <c r="BZ5956" s="8"/>
      <c r="CD5956" s="8"/>
    </row>
    <row r="5957" spans="73:82" ht="15.75">
      <c r="BU5957" s="8"/>
      <c r="BZ5957" s="8"/>
      <c r="CD5957" s="8"/>
    </row>
    <row r="5958" spans="73:82" ht="15.75">
      <c r="BU5958" s="8"/>
      <c r="BZ5958" s="8"/>
      <c r="CD5958" s="8"/>
    </row>
    <row r="5959" spans="73:82" ht="15.75">
      <c r="BU5959" s="8"/>
      <c r="BZ5959" s="8"/>
      <c r="CD5959" s="8"/>
    </row>
    <row r="5960" spans="73:82" ht="15.75">
      <c r="BU5960" s="8"/>
      <c r="BZ5960" s="8"/>
      <c r="CD5960" s="8"/>
    </row>
    <row r="5961" spans="73:82" ht="15.75">
      <c r="BU5961" s="8"/>
      <c r="BZ5961" s="8"/>
      <c r="CD5961" s="8"/>
    </row>
    <row r="5962" spans="73:82" ht="15.75">
      <c r="BU5962" s="8"/>
      <c r="BZ5962" s="8"/>
      <c r="CD5962" s="8"/>
    </row>
    <row r="5963" spans="73:82" ht="15.75">
      <c r="BU5963" s="8"/>
      <c r="BZ5963" s="8"/>
      <c r="CD5963" s="8"/>
    </row>
    <row r="5964" spans="73:82" ht="15.75">
      <c r="BU5964" s="8"/>
      <c r="BZ5964" s="8"/>
      <c r="CD5964" s="8"/>
    </row>
    <row r="5965" spans="73:82" ht="15.75">
      <c r="BU5965" s="8"/>
      <c r="BZ5965" s="8"/>
      <c r="CD5965" s="8"/>
    </row>
    <row r="5966" spans="73:82" ht="15.75">
      <c r="BU5966" s="8"/>
      <c r="BZ5966" s="8"/>
      <c r="CD5966" s="8"/>
    </row>
    <row r="5967" spans="73:82" ht="15.75">
      <c r="BU5967" s="8"/>
      <c r="BZ5967" s="8"/>
      <c r="CD5967" s="8"/>
    </row>
    <row r="5968" spans="73:82" ht="15.75">
      <c r="BU5968" s="8"/>
      <c r="BZ5968" s="8"/>
      <c r="CD5968" s="8"/>
    </row>
    <row r="5969" spans="73:82" ht="15.75">
      <c r="BU5969" s="8"/>
      <c r="BZ5969" s="8"/>
      <c r="CD5969" s="8"/>
    </row>
    <row r="5970" spans="73:82" ht="15.75">
      <c r="BU5970" s="8"/>
      <c r="BZ5970" s="8"/>
      <c r="CD5970" s="8"/>
    </row>
    <row r="5971" spans="73:82" ht="15.75">
      <c r="BU5971" s="8"/>
      <c r="BZ5971" s="8"/>
      <c r="CD5971" s="8"/>
    </row>
    <row r="5972" spans="73:82" ht="15.75">
      <c r="BU5972" s="8"/>
      <c r="BZ5972" s="8"/>
      <c r="CD5972" s="8"/>
    </row>
    <row r="5973" spans="73:82" ht="15.75">
      <c r="BU5973" s="8"/>
      <c r="BZ5973" s="8"/>
      <c r="CD5973" s="8"/>
    </row>
    <row r="5974" spans="73:82" ht="15.75">
      <c r="BU5974" s="8"/>
      <c r="BZ5974" s="8"/>
      <c r="CD5974" s="8"/>
    </row>
    <row r="5975" spans="73:82" ht="15.75">
      <c r="BU5975" s="8"/>
      <c r="BZ5975" s="8"/>
      <c r="CD5975" s="8"/>
    </row>
    <row r="5976" spans="73:82" ht="15.75">
      <c r="BU5976" s="8"/>
      <c r="BZ5976" s="8"/>
      <c r="CD5976" s="8"/>
    </row>
    <row r="5977" spans="73:82" ht="15.75">
      <c r="BU5977" s="8"/>
      <c r="BZ5977" s="8"/>
      <c r="CD5977" s="8"/>
    </row>
    <row r="5978" spans="73:82" ht="15.75">
      <c r="BU5978" s="8"/>
      <c r="BZ5978" s="8"/>
      <c r="CD5978" s="8"/>
    </row>
    <row r="5979" spans="73:82" ht="15.75">
      <c r="BU5979" s="8"/>
      <c r="BZ5979" s="8"/>
      <c r="CD5979" s="8"/>
    </row>
    <row r="5980" spans="73:82" ht="15.75">
      <c r="BU5980" s="8"/>
      <c r="BZ5980" s="8"/>
      <c r="CD5980" s="8"/>
    </row>
    <row r="5981" spans="73:82" ht="15.75">
      <c r="BU5981" s="8"/>
      <c r="BZ5981" s="8"/>
      <c r="CD5981" s="8"/>
    </row>
    <row r="5982" spans="73:82" ht="15.75">
      <c r="BU5982" s="8"/>
      <c r="BZ5982" s="8"/>
      <c r="CD5982" s="8"/>
    </row>
    <row r="5983" spans="73:82" ht="15.75">
      <c r="BU5983" s="8"/>
      <c r="BZ5983" s="8"/>
      <c r="CD5983" s="8"/>
    </row>
    <row r="5984" spans="73:82" ht="15.75">
      <c r="BU5984" s="8"/>
      <c r="BZ5984" s="8"/>
      <c r="CD5984" s="8"/>
    </row>
    <row r="5985" spans="73:82" ht="15.75">
      <c r="BU5985" s="8"/>
      <c r="BZ5985" s="8"/>
      <c r="CD5985" s="8"/>
    </row>
    <row r="5986" spans="73:82" ht="15.75">
      <c r="BU5986" s="8"/>
      <c r="BZ5986" s="8"/>
      <c r="CD5986" s="8"/>
    </row>
    <row r="5987" spans="73:82" ht="15.75">
      <c r="BU5987" s="8"/>
      <c r="BZ5987" s="8"/>
      <c r="CD5987" s="8"/>
    </row>
    <row r="5988" spans="73:82" ht="15.75">
      <c r="BU5988" s="8"/>
      <c r="BZ5988" s="8"/>
      <c r="CD5988" s="8"/>
    </row>
    <row r="5989" spans="73:82" ht="15.75">
      <c r="BU5989" s="8"/>
      <c r="BZ5989" s="8"/>
      <c r="CD5989" s="8"/>
    </row>
    <row r="5990" spans="73:82" ht="15.75">
      <c r="BU5990" s="8"/>
      <c r="BZ5990" s="8"/>
      <c r="CD5990" s="8"/>
    </row>
    <row r="5991" spans="73:82" ht="15.75">
      <c r="BU5991" s="8"/>
      <c r="BZ5991" s="8"/>
      <c r="CD5991" s="8"/>
    </row>
    <row r="5992" spans="73:82" ht="15.75">
      <c r="BU5992" s="8"/>
      <c r="BZ5992" s="8"/>
      <c r="CD5992" s="8"/>
    </row>
    <row r="5993" spans="73:82" ht="15.75">
      <c r="BU5993" s="8"/>
      <c r="BZ5993" s="8"/>
      <c r="CD5993" s="8"/>
    </row>
    <row r="5994" spans="73:82" ht="15.75">
      <c r="BU5994" s="8"/>
      <c r="BZ5994" s="8"/>
      <c r="CD5994" s="8"/>
    </row>
    <row r="5995" spans="73:82" ht="15.75">
      <c r="BU5995" s="8"/>
      <c r="BZ5995" s="8"/>
      <c r="CD5995" s="8"/>
    </row>
    <row r="5996" spans="73:82" ht="15.75">
      <c r="BU5996" s="8"/>
      <c r="BZ5996" s="8"/>
      <c r="CD5996" s="8"/>
    </row>
    <row r="5997" spans="73:82" ht="15.75">
      <c r="BU5997" s="8"/>
      <c r="BZ5997" s="8"/>
      <c r="CD5997" s="8"/>
    </row>
    <row r="5998" spans="73:82" ht="15.75">
      <c r="BU5998" s="8"/>
      <c r="BZ5998" s="8"/>
      <c r="CD5998" s="8"/>
    </row>
    <row r="5999" spans="73:82" ht="15.75">
      <c r="BU5999" s="8"/>
      <c r="BZ5999" s="8"/>
      <c r="CD5999" s="8"/>
    </row>
    <row r="6000" spans="73:82" ht="15.75">
      <c r="BU6000" s="8"/>
      <c r="BZ6000" s="8"/>
      <c r="CD6000" s="8"/>
    </row>
    <row r="6001" spans="73:82" ht="15.75">
      <c r="BU6001" s="8"/>
      <c r="BZ6001" s="8"/>
      <c r="CD6001" s="8"/>
    </row>
    <row r="6002" spans="73:82" ht="15.75">
      <c r="BU6002" s="8"/>
      <c r="BZ6002" s="8"/>
      <c r="CD6002" s="8"/>
    </row>
    <row r="6003" spans="73:82" ht="15.75">
      <c r="BU6003" s="8"/>
      <c r="BZ6003" s="8"/>
      <c r="CD6003" s="8"/>
    </row>
    <row r="6004" spans="73:82" ht="15.75">
      <c r="BU6004" s="8"/>
      <c r="BZ6004" s="8"/>
      <c r="CD6004" s="8"/>
    </row>
    <row r="6005" spans="73:82" ht="15.75">
      <c r="BU6005" s="8"/>
      <c r="BZ6005" s="8"/>
      <c r="CD6005" s="8"/>
    </row>
    <row r="6006" spans="73:82" ht="15.75">
      <c r="BU6006" s="8"/>
      <c r="BZ6006" s="8"/>
      <c r="CD6006" s="8"/>
    </row>
    <row r="6007" spans="73:82" ht="15.75">
      <c r="BU6007" s="8"/>
      <c r="BZ6007" s="8"/>
      <c r="CD6007" s="8"/>
    </row>
    <row r="6008" spans="73:82" ht="15.75">
      <c r="BU6008" s="8"/>
      <c r="BZ6008" s="8"/>
      <c r="CD6008" s="8"/>
    </row>
    <row r="6009" spans="73:82" ht="15.75">
      <c r="BU6009" s="8"/>
      <c r="BZ6009" s="8"/>
      <c r="CD6009" s="8"/>
    </row>
    <row r="6010" spans="73:82" ht="15.75">
      <c r="BU6010" s="8"/>
      <c r="BZ6010" s="8"/>
      <c r="CD6010" s="8"/>
    </row>
    <row r="6011" spans="73:82" ht="15.75">
      <c r="BU6011" s="8"/>
      <c r="BZ6011" s="8"/>
      <c r="CD6011" s="8"/>
    </row>
    <row r="6012" spans="73:82" ht="15.75">
      <c r="BU6012" s="8"/>
      <c r="BZ6012" s="8"/>
      <c r="CD6012" s="8"/>
    </row>
    <row r="6013" spans="73:82" ht="15.75">
      <c r="BU6013" s="8"/>
      <c r="BZ6013" s="8"/>
      <c r="CD6013" s="8"/>
    </row>
    <row r="6014" spans="73:82" ht="15.75">
      <c r="BU6014" s="8"/>
      <c r="BZ6014" s="8"/>
      <c r="CD6014" s="8"/>
    </row>
    <row r="6015" spans="73:82" ht="15.75">
      <c r="BU6015" s="8"/>
      <c r="BZ6015" s="8"/>
      <c r="CD6015" s="8"/>
    </row>
    <row r="6016" spans="73:82" ht="15.75">
      <c r="BU6016" s="8"/>
      <c r="BZ6016" s="8"/>
      <c r="CD6016" s="8"/>
    </row>
    <row r="6017" spans="73:82" ht="15.75">
      <c r="BU6017" s="8"/>
      <c r="BZ6017" s="8"/>
      <c r="CD6017" s="8"/>
    </row>
    <row r="6018" spans="73:82" ht="15.75">
      <c r="BU6018" s="8"/>
      <c r="BZ6018" s="8"/>
      <c r="CD6018" s="8"/>
    </row>
    <row r="6019" spans="73:82" ht="15.75">
      <c r="BU6019" s="8"/>
      <c r="BZ6019" s="8"/>
      <c r="CD6019" s="8"/>
    </row>
    <row r="6020" spans="73:82" ht="15.75">
      <c r="BU6020" s="8"/>
      <c r="BZ6020" s="8"/>
      <c r="CD6020" s="8"/>
    </row>
    <row r="6021" spans="73:82" ht="15.75">
      <c r="BU6021" s="8"/>
      <c r="BZ6021" s="8"/>
      <c r="CD6021" s="8"/>
    </row>
    <row r="6022" spans="73:82" ht="15.75">
      <c r="BU6022" s="8"/>
      <c r="BZ6022" s="8"/>
      <c r="CD6022" s="8"/>
    </row>
    <row r="6023" spans="73:82" ht="15.75">
      <c r="BU6023" s="8"/>
      <c r="BZ6023" s="8"/>
      <c r="CD6023" s="8"/>
    </row>
    <row r="6024" spans="73:82" ht="15.75">
      <c r="BU6024" s="8"/>
      <c r="BZ6024" s="8"/>
      <c r="CD6024" s="8"/>
    </row>
    <row r="6025" spans="73:82" ht="15.75">
      <c r="BU6025" s="8"/>
      <c r="BZ6025" s="8"/>
      <c r="CD6025" s="8"/>
    </row>
    <row r="6026" spans="73:82" ht="15.75">
      <c r="BU6026" s="8"/>
      <c r="BZ6026" s="8"/>
      <c r="CD6026" s="8"/>
    </row>
    <row r="6027" spans="73:82" ht="15.75">
      <c r="BU6027" s="8"/>
      <c r="BZ6027" s="8"/>
      <c r="CD6027" s="8"/>
    </row>
    <row r="6028" spans="73:82" ht="15.75">
      <c r="BU6028" s="8"/>
      <c r="BZ6028" s="8"/>
      <c r="CD6028" s="8"/>
    </row>
    <row r="6029" spans="73:82" ht="15.75">
      <c r="BU6029" s="8"/>
      <c r="BZ6029" s="8"/>
      <c r="CD6029" s="8"/>
    </row>
    <row r="6030" spans="73:82" ht="15.75">
      <c r="BU6030" s="8"/>
      <c r="BZ6030" s="8"/>
      <c r="CD6030" s="8"/>
    </row>
    <row r="6031" spans="73:82" ht="15.75">
      <c r="BU6031" s="8"/>
      <c r="BZ6031" s="8"/>
      <c r="CD6031" s="8"/>
    </row>
    <row r="6032" spans="73:82" ht="15.75">
      <c r="BU6032" s="8"/>
      <c r="BZ6032" s="8"/>
      <c r="CD6032" s="8"/>
    </row>
    <row r="6033" spans="73:82" ht="15.75">
      <c r="BU6033" s="8"/>
      <c r="BZ6033" s="8"/>
      <c r="CD6033" s="8"/>
    </row>
    <row r="6034" spans="73:82" ht="15.75">
      <c r="BU6034" s="8"/>
      <c r="BZ6034" s="8"/>
      <c r="CD6034" s="8"/>
    </row>
    <row r="6035" spans="73:82" ht="15.75">
      <c r="BU6035" s="8"/>
      <c r="BZ6035" s="8"/>
      <c r="CD6035" s="8"/>
    </row>
    <row r="6036" spans="73:82" ht="15.75">
      <c r="BU6036" s="8"/>
      <c r="BZ6036" s="8"/>
      <c r="CD6036" s="8"/>
    </row>
    <row r="6037" spans="73:82" ht="15.75">
      <c r="BU6037" s="8"/>
      <c r="BZ6037" s="8"/>
      <c r="CD6037" s="8"/>
    </row>
    <row r="6038" spans="73:82" ht="15.75">
      <c r="BU6038" s="8"/>
      <c r="BZ6038" s="8"/>
      <c r="CD6038" s="8"/>
    </row>
    <row r="6039" spans="73:82" ht="15.75">
      <c r="BU6039" s="8"/>
      <c r="BZ6039" s="8"/>
      <c r="CD6039" s="8"/>
    </row>
    <row r="6040" spans="73:82" ht="15.75">
      <c r="BU6040" s="8"/>
      <c r="BZ6040" s="8"/>
      <c r="CD6040" s="8"/>
    </row>
    <row r="6041" spans="73:82" ht="15.75">
      <c r="BU6041" s="8"/>
      <c r="BZ6041" s="8"/>
      <c r="CD6041" s="8"/>
    </row>
    <row r="6042" spans="73:82" ht="15.75">
      <c r="BU6042" s="8"/>
      <c r="BZ6042" s="8"/>
      <c r="CD6042" s="8"/>
    </row>
    <row r="6043" spans="73:82" ht="15.75">
      <c r="BU6043" s="8"/>
      <c r="BZ6043" s="8"/>
      <c r="CD6043" s="8"/>
    </row>
    <row r="6044" spans="73:82" ht="15.75">
      <c r="BU6044" s="8"/>
      <c r="BZ6044" s="8"/>
      <c r="CD6044" s="8"/>
    </row>
    <row r="6045" spans="73:82" ht="15.75">
      <c r="BU6045" s="8"/>
      <c r="BZ6045" s="8"/>
      <c r="CD6045" s="8"/>
    </row>
    <row r="6046" spans="73:82" ht="15.75">
      <c r="BU6046" s="8"/>
      <c r="BZ6046" s="8"/>
      <c r="CD6046" s="8"/>
    </row>
    <row r="6047" spans="73:82" ht="15.75">
      <c r="BU6047" s="8"/>
      <c r="BZ6047" s="8"/>
      <c r="CD6047" s="8"/>
    </row>
    <row r="6048" spans="73:82" ht="15.75">
      <c r="BU6048" s="8"/>
      <c r="BZ6048" s="8"/>
      <c r="CD6048" s="8"/>
    </row>
    <row r="6049" spans="73:82" ht="15.75">
      <c r="BU6049" s="8"/>
      <c r="BZ6049" s="8"/>
      <c r="CD6049" s="8"/>
    </row>
    <row r="6050" spans="73:82" ht="15.75">
      <c r="BU6050" s="8"/>
      <c r="BZ6050" s="8"/>
      <c r="CD6050" s="8"/>
    </row>
    <row r="6051" spans="73:82" ht="15.75">
      <c r="BU6051" s="8"/>
      <c r="BZ6051" s="8"/>
      <c r="CD6051" s="8"/>
    </row>
    <row r="6052" spans="73:82" ht="15.75">
      <c r="BU6052" s="8"/>
      <c r="BZ6052" s="8"/>
      <c r="CD6052" s="8"/>
    </row>
    <row r="6053" spans="73:82" ht="15.75">
      <c r="BU6053" s="8"/>
      <c r="BZ6053" s="8"/>
      <c r="CD6053" s="8"/>
    </row>
    <row r="6054" spans="73:82" ht="15.75">
      <c r="BU6054" s="8"/>
      <c r="BZ6054" s="8"/>
      <c r="CD6054" s="8"/>
    </row>
    <row r="6055" spans="73:82" ht="15.75">
      <c r="BU6055" s="8"/>
      <c r="BZ6055" s="8"/>
      <c r="CD6055" s="8"/>
    </row>
    <row r="6056" spans="73:82" ht="15.75">
      <c r="BU6056" s="8"/>
      <c r="BZ6056" s="8"/>
      <c r="CD6056" s="8"/>
    </row>
    <row r="6057" spans="73:82" ht="15.75">
      <c r="BU6057" s="8"/>
      <c r="BZ6057" s="8"/>
      <c r="CD6057" s="8"/>
    </row>
    <row r="6058" spans="73:82" ht="15.75">
      <c r="BU6058" s="8"/>
      <c r="BZ6058" s="8"/>
      <c r="CD6058" s="8"/>
    </row>
    <row r="6059" spans="73:82" ht="15.75">
      <c r="BU6059" s="8"/>
      <c r="BZ6059" s="8"/>
      <c r="CD6059" s="8"/>
    </row>
    <row r="6060" spans="73:82" ht="15.75">
      <c r="BU6060" s="8"/>
      <c r="BZ6060" s="8"/>
      <c r="CD6060" s="8"/>
    </row>
    <row r="6061" spans="73:82" ht="15.75">
      <c r="BU6061" s="8"/>
      <c r="BZ6061" s="8"/>
      <c r="CD6061" s="8"/>
    </row>
    <row r="6062" spans="73:82" ht="15.75">
      <c r="BU6062" s="8"/>
      <c r="BZ6062" s="8"/>
      <c r="CD6062" s="8"/>
    </row>
    <row r="6063" spans="73:82" ht="15.75">
      <c r="BU6063" s="8"/>
      <c r="BZ6063" s="8"/>
      <c r="CD6063" s="8"/>
    </row>
    <row r="6064" spans="73:82" ht="15.75">
      <c r="BU6064" s="8"/>
      <c r="BZ6064" s="8"/>
      <c r="CD6064" s="8"/>
    </row>
    <row r="6065" spans="73:82" ht="15.75">
      <c r="BU6065" s="8"/>
      <c r="BZ6065" s="8"/>
      <c r="CD6065" s="8"/>
    </row>
    <row r="6066" spans="73:82" ht="15.75">
      <c r="BU6066" s="8"/>
      <c r="BZ6066" s="8"/>
      <c r="CD6066" s="8"/>
    </row>
    <row r="6067" spans="73:82" ht="15.75">
      <c r="BU6067" s="8"/>
      <c r="BZ6067" s="8"/>
      <c r="CD6067" s="8"/>
    </row>
    <row r="6068" spans="73:82" ht="15.75">
      <c r="BU6068" s="8"/>
      <c r="BZ6068" s="8"/>
      <c r="CD6068" s="8"/>
    </row>
    <row r="6069" spans="73:82" ht="15.75">
      <c r="BU6069" s="8"/>
      <c r="BZ6069" s="8"/>
      <c r="CD6069" s="8"/>
    </row>
    <row r="6070" spans="73:82" ht="15.75">
      <c r="BU6070" s="8"/>
      <c r="BZ6070" s="8"/>
      <c r="CD6070" s="8"/>
    </row>
    <row r="6071" spans="73:82" ht="15.75">
      <c r="BU6071" s="8"/>
      <c r="BZ6071" s="8"/>
      <c r="CD6071" s="8"/>
    </row>
    <row r="6072" spans="73:82" ht="15.75">
      <c r="BU6072" s="8"/>
      <c r="BZ6072" s="8"/>
      <c r="CD6072" s="8"/>
    </row>
    <row r="6073" spans="73:82" ht="15.75">
      <c r="BU6073" s="8"/>
      <c r="BZ6073" s="8"/>
      <c r="CD6073" s="8"/>
    </row>
    <row r="6074" spans="73:82" ht="15.75">
      <c r="BU6074" s="8"/>
      <c r="BZ6074" s="8"/>
      <c r="CD6074" s="8"/>
    </row>
    <row r="6075" spans="73:82" ht="15.75">
      <c r="BU6075" s="8"/>
      <c r="BZ6075" s="8"/>
      <c r="CD6075" s="8"/>
    </row>
    <row r="6076" spans="73:82" ht="15.75">
      <c r="BU6076" s="8"/>
      <c r="BZ6076" s="8"/>
      <c r="CD6076" s="8"/>
    </row>
    <row r="6077" spans="73:82" ht="15.75">
      <c r="BU6077" s="8"/>
      <c r="BZ6077" s="8"/>
      <c r="CD6077" s="8"/>
    </row>
    <row r="6078" spans="73:82" ht="15.75">
      <c r="BU6078" s="8"/>
      <c r="BZ6078" s="8"/>
      <c r="CD6078" s="8"/>
    </row>
    <row r="6079" spans="73:82" ht="15.75">
      <c r="BU6079" s="8"/>
      <c r="BZ6079" s="8"/>
      <c r="CD6079" s="8"/>
    </row>
    <row r="6080" spans="73:82" ht="15.75">
      <c r="BU6080" s="8"/>
      <c r="BZ6080" s="8"/>
      <c r="CD6080" s="8"/>
    </row>
    <row r="6081" spans="73:82" ht="15.75">
      <c r="BU6081" s="8"/>
      <c r="BZ6081" s="8"/>
      <c r="CD6081" s="8"/>
    </row>
    <row r="6082" spans="73:82" ht="15.75">
      <c r="BU6082" s="8"/>
      <c r="BZ6082" s="8"/>
      <c r="CD6082" s="8"/>
    </row>
    <row r="6083" spans="73:82" ht="15.75">
      <c r="BU6083" s="8"/>
      <c r="BZ6083" s="8"/>
      <c r="CD6083" s="8"/>
    </row>
    <row r="6084" spans="73:82" ht="15.75">
      <c r="BU6084" s="8"/>
      <c r="BZ6084" s="8"/>
      <c r="CD6084" s="8"/>
    </row>
    <row r="6085" spans="73:82" ht="15.75">
      <c r="BU6085" s="8"/>
      <c r="BZ6085" s="8"/>
      <c r="CD6085" s="8"/>
    </row>
    <row r="6086" spans="73:82" ht="15.75">
      <c r="BU6086" s="8"/>
      <c r="BZ6086" s="8"/>
      <c r="CD6086" s="8"/>
    </row>
    <row r="6087" spans="73:82" ht="15.75">
      <c r="BU6087" s="8"/>
      <c r="BZ6087" s="8"/>
      <c r="CD6087" s="8"/>
    </row>
    <row r="6088" spans="73:82" ht="15.75">
      <c r="BU6088" s="8"/>
      <c r="BZ6088" s="8"/>
      <c r="CD6088" s="8"/>
    </row>
    <row r="6089" spans="73:82" ht="15.75">
      <c r="BU6089" s="8"/>
      <c r="BZ6089" s="8"/>
      <c r="CD6089" s="8"/>
    </row>
    <row r="6090" spans="73:82" ht="15.75">
      <c r="BU6090" s="8"/>
      <c r="BZ6090" s="8"/>
      <c r="CD6090" s="8"/>
    </row>
    <row r="6091" spans="73:82" ht="15.75">
      <c r="BU6091" s="8"/>
      <c r="BZ6091" s="8"/>
      <c r="CD6091" s="8"/>
    </row>
    <row r="6092" spans="73:82" ht="15.75">
      <c r="BU6092" s="8"/>
      <c r="BZ6092" s="8"/>
      <c r="CD6092" s="8"/>
    </row>
    <row r="6093" spans="73:82" ht="15.75">
      <c r="BU6093" s="8"/>
      <c r="BZ6093" s="8"/>
      <c r="CD6093" s="8"/>
    </row>
    <row r="6094" spans="73:82" ht="15.75">
      <c r="BU6094" s="8"/>
      <c r="BZ6094" s="8"/>
      <c r="CD6094" s="8"/>
    </row>
    <row r="6095" spans="73:82" ht="15.75">
      <c r="BU6095" s="8"/>
      <c r="BZ6095" s="8"/>
      <c r="CD6095" s="8"/>
    </row>
    <row r="6096" spans="73:82" ht="15.75">
      <c r="BU6096" s="8"/>
      <c r="BZ6096" s="8"/>
      <c r="CD6096" s="8"/>
    </row>
    <row r="6097" spans="73:82" ht="15.75">
      <c r="BU6097" s="8"/>
      <c r="BZ6097" s="8"/>
      <c r="CD6097" s="8"/>
    </row>
    <row r="6098" spans="73:82" ht="15.75">
      <c r="BU6098" s="8"/>
      <c r="BZ6098" s="8"/>
      <c r="CD6098" s="8"/>
    </row>
    <row r="6099" spans="73:82" ht="15.75">
      <c r="BU6099" s="8"/>
      <c r="BZ6099" s="8"/>
      <c r="CD6099" s="8"/>
    </row>
    <row r="6100" spans="73:82" ht="15.75">
      <c r="BU6100" s="8"/>
      <c r="BZ6100" s="8"/>
      <c r="CD6100" s="8"/>
    </row>
    <row r="6101" spans="73:82" ht="15.75">
      <c r="BU6101" s="8"/>
      <c r="BZ6101" s="8"/>
      <c r="CD6101" s="8"/>
    </row>
    <row r="6102" spans="73:82" ht="15.75">
      <c r="BU6102" s="8"/>
      <c r="BZ6102" s="8"/>
      <c r="CD6102" s="8"/>
    </row>
    <row r="6103" spans="73:82" ht="15.75">
      <c r="BU6103" s="8"/>
      <c r="BZ6103" s="8"/>
      <c r="CD6103" s="8"/>
    </row>
    <row r="6104" spans="73:82" ht="15.75">
      <c r="BU6104" s="8"/>
      <c r="BZ6104" s="8"/>
      <c r="CD6104" s="8"/>
    </row>
    <row r="6105" spans="73:82" ht="15.75">
      <c r="BU6105" s="8"/>
      <c r="BZ6105" s="8"/>
      <c r="CD6105" s="8"/>
    </row>
    <row r="6106" spans="73:82" ht="15.75">
      <c r="BU6106" s="8"/>
      <c r="BZ6106" s="8"/>
      <c r="CD6106" s="8"/>
    </row>
    <row r="6107" spans="73:82" ht="15.75">
      <c r="BU6107" s="8"/>
      <c r="BZ6107" s="8"/>
      <c r="CD6107" s="8"/>
    </row>
    <row r="6108" spans="73:82" ht="15.75">
      <c r="BU6108" s="8"/>
      <c r="BZ6108" s="8"/>
      <c r="CD6108" s="8"/>
    </row>
    <row r="6109" spans="73:82" ht="15.75">
      <c r="BU6109" s="8"/>
      <c r="BZ6109" s="8"/>
      <c r="CD6109" s="8"/>
    </row>
    <row r="6110" spans="73:82" ht="15.75">
      <c r="BU6110" s="8"/>
      <c r="BZ6110" s="8"/>
      <c r="CD6110" s="8"/>
    </row>
    <row r="6111" spans="73:82" ht="15.75">
      <c r="BU6111" s="8"/>
      <c r="BZ6111" s="8"/>
      <c r="CD6111" s="8"/>
    </row>
    <row r="6112" spans="73:82" ht="15.75">
      <c r="BU6112" s="8"/>
      <c r="BZ6112" s="8"/>
      <c r="CD6112" s="8"/>
    </row>
    <row r="6113" spans="73:82" ht="15.75">
      <c r="BU6113" s="8"/>
      <c r="BZ6113" s="8"/>
      <c r="CD6113" s="8"/>
    </row>
    <row r="6114" spans="73:82" ht="15.75">
      <c r="BU6114" s="8"/>
      <c r="BZ6114" s="8"/>
      <c r="CD6114" s="8"/>
    </row>
    <row r="6115" spans="73:82" ht="15.75">
      <c r="BU6115" s="8"/>
      <c r="BZ6115" s="8"/>
      <c r="CD6115" s="8"/>
    </row>
    <row r="6116" spans="73:82" ht="15.75">
      <c r="BU6116" s="8"/>
      <c r="BZ6116" s="8"/>
      <c r="CD6116" s="8"/>
    </row>
    <row r="6117" spans="73:82" ht="15.75">
      <c r="BU6117" s="8"/>
      <c r="BZ6117" s="8"/>
      <c r="CD6117" s="8"/>
    </row>
    <row r="6118" spans="73:82" ht="15.75">
      <c r="BU6118" s="8"/>
      <c r="BZ6118" s="8"/>
      <c r="CD6118" s="8"/>
    </row>
    <row r="6119" spans="73:82" ht="15.75">
      <c r="BU6119" s="8"/>
      <c r="BZ6119" s="8"/>
      <c r="CD6119" s="8"/>
    </row>
    <row r="6120" spans="73:82" ht="15.75">
      <c r="BU6120" s="8"/>
      <c r="BZ6120" s="8"/>
      <c r="CD6120" s="8"/>
    </row>
    <row r="6121" spans="73:82" ht="15.75">
      <c r="BU6121" s="8"/>
      <c r="BZ6121" s="8"/>
      <c r="CD6121" s="8"/>
    </row>
    <row r="6122" spans="73:82" ht="15.75">
      <c r="BU6122" s="8"/>
      <c r="BZ6122" s="8"/>
      <c r="CD6122" s="8"/>
    </row>
    <row r="6123" spans="73:82" ht="15.75">
      <c r="BU6123" s="8"/>
      <c r="BZ6123" s="8"/>
      <c r="CD6123" s="8"/>
    </row>
    <row r="6124" spans="73:82" ht="15.75">
      <c r="BU6124" s="8"/>
      <c r="BZ6124" s="8"/>
      <c r="CD6124" s="8"/>
    </row>
    <row r="6125" spans="73:82" ht="15.75">
      <c r="BU6125" s="8"/>
      <c r="BZ6125" s="8"/>
      <c r="CD6125" s="8"/>
    </row>
    <row r="6126" spans="73:82" ht="15.75">
      <c r="BU6126" s="8"/>
      <c r="BZ6126" s="8"/>
      <c r="CD6126" s="8"/>
    </row>
    <row r="6127" spans="73:82" ht="15.75">
      <c r="BU6127" s="8"/>
      <c r="BZ6127" s="8"/>
      <c r="CD6127" s="8"/>
    </row>
    <row r="6128" spans="73:82" ht="15.75">
      <c r="BU6128" s="8"/>
      <c r="BZ6128" s="8"/>
      <c r="CD6128" s="8"/>
    </row>
    <row r="6129" spans="73:82" ht="15.75">
      <c r="BU6129" s="8"/>
      <c r="BZ6129" s="8"/>
      <c r="CD6129" s="8"/>
    </row>
    <row r="6130" spans="73:82" ht="15.75">
      <c r="BU6130" s="8"/>
      <c r="BZ6130" s="8"/>
      <c r="CD6130" s="8"/>
    </row>
    <row r="6131" spans="73:82" ht="15.75">
      <c r="BU6131" s="8"/>
      <c r="BZ6131" s="8"/>
      <c r="CD6131" s="8"/>
    </row>
    <row r="6132" spans="73:82" ht="15.75">
      <c r="BU6132" s="8"/>
      <c r="BZ6132" s="8"/>
      <c r="CD6132" s="8"/>
    </row>
    <row r="6133" spans="73:82" ht="15.75">
      <c r="BU6133" s="8"/>
      <c r="BZ6133" s="8"/>
      <c r="CD6133" s="8"/>
    </row>
    <row r="6134" spans="73:82" ht="15.75">
      <c r="BU6134" s="8"/>
      <c r="BZ6134" s="8"/>
      <c r="CD6134" s="8"/>
    </row>
    <row r="6135" spans="73:82" ht="15.75">
      <c r="BU6135" s="8"/>
      <c r="BZ6135" s="8"/>
      <c r="CD6135" s="8"/>
    </row>
    <row r="6136" spans="73:82" ht="15.75">
      <c r="BU6136" s="8"/>
      <c r="BZ6136" s="8"/>
      <c r="CD6136" s="8"/>
    </row>
    <row r="6137" spans="73:82" ht="15.75">
      <c r="BU6137" s="8"/>
      <c r="BZ6137" s="8"/>
      <c r="CD6137" s="8"/>
    </row>
    <row r="6138" spans="73:82" ht="15.75">
      <c r="BU6138" s="8"/>
      <c r="BZ6138" s="8"/>
      <c r="CD6138" s="8"/>
    </row>
    <row r="6139" spans="73:82" ht="15.75">
      <c r="BU6139" s="8"/>
      <c r="BZ6139" s="8"/>
      <c r="CD6139" s="8"/>
    </row>
    <row r="6140" spans="73:82" ht="15.75">
      <c r="BU6140" s="8"/>
      <c r="BZ6140" s="8"/>
      <c r="CD6140" s="8"/>
    </row>
    <row r="6141" spans="73:82" ht="15.75">
      <c r="BU6141" s="8"/>
      <c r="BZ6141" s="8"/>
      <c r="CD6141" s="8"/>
    </row>
    <row r="6142" spans="73:82" ht="15.75">
      <c r="BU6142" s="8"/>
      <c r="BZ6142" s="8"/>
      <c r="CD6142" s="8"/>
    </row>
    <row r="6143" spans="73:82" ht="15.75">
      <c r="BU6143" s="8"/>
      <c r="BZ6143" s="8"/>
      <c r="CD6143" s="8"/>
    </row>
    <row r="6144" spans="73:82" ht="15.75">
      <c r="BU6144" s="8"/>
      <c r="BZ6144" s="8"/>
      <c r="CD6144" s="8"/>
    </row>
    <row r="6145" spans="73:82" ht="15.75">
      <c r="BU6145" s="8"/>
      <c r="BZ6145" s="8"/>
      <c r="CD6145" s="8"/>
    </row>
    <row r="6146" spans="73:82" ht="15.75">
      <c r="BU6146" s="8"/>
      <c r="BZ6146" s="8"/>
      <c r="CD6146" s="8"/>
    </row>
    <row r="6147" spans="73:82" ht="15.75">
      <c r="BU6147" s="8"/>
      <c r="BZ6147" s="8"/>
      <c r="CD6147" s="8"/>
    </row>
    <row r="6148" spans="73:82" ht="15.75">
      <c r="BU6148" s="8"/>
      <c r="BZ6148" s="8"/>
      <c r="CD6148" s="8"/>
    </row>
    <row r="6149" spans="73:82" ht="15.75">
      <c r="BU6149" s="8"/>
      <c r="BZ6149" s="8"/>
      <c r="CD6149" s="8"/>
    </row>
    <row r="6150" spans="73:82" ht="15.75">
      <c r="BU6150" s="8"/>
      <c r="BZ6150" s="8"/>
      <c r="CD6150" s="8"/>
    </row>
    <row r="6151" spans="73:82" ht="15.75">
      <c r="BU6151" s="8"/>
      <c r="BZ6151" s="8"/>
      <c r="CD6151" s="8"/>
    </row>
    <row r="6152" spans="73:82" ht="15.75">
      <c r="BU6152" s="8"/>
      <c r="BZ6152" s="8"/>
      <c r="CD6152" s="8"/>
    </row>
    <row r="6153" spans="73:82" ht="15.75">
      <c r="BU6153" s="8"/>
      <c r="BZ6153" s="8"/>
      <c r="CD6153" s="8"/>
    </row>
    <row r="6154" spans="73:82" ht="15.75">
      <c r="BU6154" s="8"/>
      <c r="BZ6154" s="8"/>
      <c r="CD6154" s="8"/>
    </row>
    <row r="6155" spans="73:82" ht="15.75">
      <c r="BU6155" s="8"/>
      <c r="BZ6155" s="8"/>
      <c r="CD6155" s="8"/>
    </row>
    <row r="6156" spans="73:82" ht="15.75">
      <c r="BU6156" s="8"/>
      <c r="BZ6156" s="8"/>
      <c r="CD6156" s="8"/>
    </row>
    <row r="6157" spans="73:82" ht="15.75">
      <c r="BU6157" s="8"/>
      <c r="BZ6157" s="8"/>
      <c r="CD6157" s="8"/>
    </row>
    <row r="6158" spans="73:82" ht="15.75">
      <c r="BU6158" s="8"/>
      <c r="BZ6158" s="8"/>
      <c r="CD6158" s="8"/>
    </row>
    <row r="6159" spans="73:82" ht="15.75">
      <c r="BU6159" s="8"/>
      <c r="BZ6159" s="8"/>
      <c r="CD6159" s="8"/>
    </row>
    <row r="6160" spans="73:82" ht="15.75">
      <c r="BU6160" s="8"/>
      <c r="BZ6160" s="8"/>
      <c r="CD6160" s="8"/>
    </row>
    <row r="6161" spans="73:82" ht="15.75">
      <c r="BU6161" s="8"/>
      <c r="BZ6161" s="8"/>
      <c r="CD6161" s="8"/>
    </row>
    <row r="6162" spans="73:82" ht="15.75">
      <c r="BU6162" s="8"/>
      <c r="BZ6162" s="8"/>
      <c r="CD6162" s="8"/>
    </row>
    <row r="6163" spans="73:82" ht="15.75">
      <c r="BU6163" s="8"/>
      <c r="BZ6163" s="8"/>
      <c r="CD6163" s="8"/>
    </row>
    <row r="6164" spans="73:82" ht="15.75">
      <c r="BU6164" s="8"/>
      <c r="BZ6164" s="8"/>
      <c r="CD6164" s="8"/>
    </row>
    <row r="6165" spans="73:82" ht="15.75">
      <c r="BU6165" s="8"/>
      <c r="BZ6165" s="8"/>
      <c r="CD6165" s="8"/>
    </row>
    <row r="6166" spans="73:82" ht="15.75">
      <c r="BU6166" s="8"/>
      <c r="BZ6166" s="8"/>
      <c r="CD6166" s="8"/>
    </row>
    <row r="6167" spans="73:82" ht="15.75">
      <c r="BU6167" s="8"/>
      <c r="BZ6167" s="8"/>
      <c r="CD6167" s="8"/>
    </row>
    <row r="6168" spans="73:82" ht="15.75">
      <c r="BU6168" s="8"/>
      <c r="BZ6168" s="8"/>
      <c r="CD6168" s="8"/>
    </row>
    <row r="6169" spans="73:82" ht="15.75">
      <c r="BU6169" s="8"/>
      <c r="BZ6169" s="8"/>
      <c r="CD6169" s="8"/>
    </row>
    <row r="6170" spans="73:82" ht="15.75">
      <c r="BU6170" s="8"/>
      <c r="BZ6170" s="8"/>
      <c r="CD6170" s="8"/>
    </row>
    <row r="6171" spans="73:82" ht="15.75">
      <c r="BU6171" s="8"/>
      <c r="BZ6171" s="8"/>
      <c r="CD6171" s="8"/>
    </row>
    <row r="6172" spans="73:82" ht="15.75">
      <c r="BU6172" s="8"/>
      <c r="BZ6172" s="8"/>
      <c r="CD6172" s="8"/>
    </row>
    <row r="6173" spans="73:82" ht="15.75">
      <c r="BU6173" s="8"/>
      <c r="BZ6173" s="8"/>
      <c r="CD6173" s="8"/>
    </row>
    <row r="6174" spans="73:82" ht="15.75">
      <c r="BU6174" s="8"/>
      <c r="BZ6174" s="8"/>
      <c r="CD6174" s="8"/>
    </row>
    <row r="6175" spans="73:82" ht="15.75">
      <c r="BU6175" s="8"/>
      <c r="BZ6175" s="8"/>
      <c r="CD6175" s="8"/>
    </row>
    <row r="6176" spans="73:82" ht="15.75">
      <c r="BU6176" s="8"/>
      <c r="BZ6176" s="8"/>
      <c r="CD6176" s="8"/>
    </row>
    <row r="6177" spans="73:82" ht="15.75">
      <c r="BU6177" s="8"/>
      <c r="BZ6177" s="8"/>
      <c r="CD6177" s="8"/>
    </row>
    <row r="6178" spans="73:82" ht="15.75">
      <c r="BU6178" s="8"/>
      <c r="BZ6178" s="8"/>
      <c r="CD6178" s="8"/>
    </row>
    <row r="6179" spans="73:82" ht="15.75">
      <c r="BU6179" s="8"/>
      <c r="BZ6179" s="8"/>
      <c r="CD6179" s="8"/>
    </row>
    <row r="6180" spans="73:82" ht="15.75">
      <c r="BU6180" s="8"/>
      <c r="BZ6180" s="8"/>
      <c r="CD6180" s="8"/>
    </row>
    <row r="6181" spans="73:82" ht="15.75">
      <c r="BU6181" s="8"/>
      <c r="BZ6181" s="8"/>
      <c r="CD6181" s="8"/>
    </row>
    <row r="6182" spans="73:82" ht="15.75">
      <c r="BU6182" s="8"/>
      <c r="BZ6182" s="8"/>
      <c r="CD6182" s="8"/>
    </row>
    <row r="6183" spans="73:82" ht="15.75">
      <c r="BU6183" s="8"/>
      <c r="BZ6183" s="8"/>
      <c r="CD6183" s="8"/>
    </row>
    <row r="6184" spans="73:82" ht="15.75">
      <c r="BU6184" s="8"/>
      <c r="BZ6184" s="8"/>
      <c r="CD6184" s="8"/>
    </row>
    <row r="6185" spans="73:82" ht="15.75">
      <c r="BU6185" s="8"/>
      <c r="BZ6185" s="8"/>
      <c r="CD6185" s="8"/>
    </row>
    <row r="6186" spans="73:82" ht="15.75">
      <c r="BU6186" s="8"/>
      <c r="BZ6186" s="8"/>
      <c r="CD6186" s="8"/>
    </row>
    <row r="6187" spans="73:82" ht="15.75">
      <c r="BU6187" s="8"/>
      <c r="BZ6187" s="8"/>
      <c r="CD6187" s="8"/>
    </row>
    <row r="6188" spans="73:82" ht="15.75">
      <c r="BU6188" s="8"/>
      <c r="BZ6188" s="8"/>
      <c r="CD6188" s="8"/>
    </row>
    <row r="6189" spans="73:82" ht="15.75">
      <c r="BU6189" s="8"/>
      <c r="BZ6189" s="8"/>
      <c r="CD6189" s="8"/>
    </row>
    <row r="6190" spans="73:82" ht="15.75">
      <c r="BU6190" s="8"/>
      <c r="BZ6190" s="8"/>
      <c r="CD6190" s="8"/>
    </row>
    <row r="6191" spans="73:82" ht="15.75">
      <c r="BU6191" s="8"/>
      <c r="BZ6191" s="8"/>
      <c r="CD6191" s="8"/>
    </row>
    <row r="6192" spans="73:82" ht="15.75">
      <c r="BU6192" s="8"/>
      <c r="BZ6192" s="8"/>
      <c r="CD6192" s="8"/>
    </row>
    <row r="6193" spans="73:82" ht="15.75">
      <c r="BU6193" s="8"/>
      <c r="BZ6193" s="8"/>
      <c r="CD6193" s="8"/>
    </row>
    <row r="6194" spans="73:82" ht="15.75">
      <c r="BU6194" s="8"/>
      <c r="BZ6194" s="8"/>
      <c r="CD6194" s="8"/>
    </row>
    <row r="6195" spans="73:82" ht="15.75">
      <c r="BU6195" s="8"/>
      <c r="BZ6195" s="8"/>
      <c r="CD6195" s="8"/>
    </row>
    <row r="6196" spans="73:82" ht="15.75">
      <c r="BU6196" s="8"/>
      <c r="BZ6196" s="8"/>
      <c r="CD6196" s="8"/>
    </row>
    <row r="6197" spans="73:82" ht="15.75">
      <c r="BU6197" s="8"/>
      <c r="BZ6197" s="8"/>
      <c r="CD6197" s="8"/>
    </row>
    <row r="6198" spans="73:82" ht="15.75">
      <c r="BU6198" s="8"/>
      <c r="BZ6198" s="8"/>
      <c r="CD6198" s="8"/>
    </row>
    <row r="6199" spans="73:82" ht="15.75">
      <c r="BU6199" s="8"/>
      <c r="BZ6199" s="8"/>
      <c r="CD6199" s="8"/>
    </row>
    <row r="6200" spans="73:82" ht="15.75">
      <c r="BU6200" s="8"/>
      <c r="BZ6200" s="8"/>
      <c r="CD6200" s="8"/>
    </row>
    <row r="6201" spans="73:82" ht="15.75">
      <c r="BU6201" s="8"/>
      <c r="BZ6201" s="8"/>
      <c r="CD6201" s="8"/>
    </row>
    <row r="6202" spans="73:82" ht="15.75">
      <c r="BU6202" s="8"/>
      <c r="BZ6202" s="8"/>
      <c r="CD6202" s="8"/>
    </row>
    <row r="6203" spans="73:82" ht="15.75">
      <c r="BU6203" s="8"/>
      <c r="BZ6203" s="8"/>
      <c r="CD6203" s="8"/>
    </row>
    <row r="6204" spans="73:82" ht="15.75">
      <c r="BU6204" s="8"/>
      <c r="BZ6204" s="8"/>
      <c r="CD6204" s="8"/>
    </row>
    <row r="6205" spans="73:82" ht="15.75">
      <c r="BU6205" s="8"/>
      <c r="BZ6205" s="8"/>
      <c r="CD6205" s="8"/>
    </row>
    <row r="6206" spans="73:82" ht="15.75">
      <c r="BU6206" s="8"/>
      <c r="BZ6206" s="8"/>
      <c r="CD6206" s="8"/>
    </row>
    <row r="6207" spans="73:82" ht="15.75">
      <c r="BU6207" s="8"/>
      <c r="BZ6207" s="8"/>
      <c r="CD6207" s="8"/>
    </row>
    <row r="6208" spans="73:82" ht="15.75">
      <c r="BU6208" s="8"/>
      <c r="BZ6208" s="8"/>
      <c r="CD6208" s="8"/>
    </row>
    <row r="6209" spans="73:82" ht="15.75">
      <c r="BU6209" s="8"/>
      <c r="BZ6209" s="8"/>
      <c r="CD6209" s="8"/>
    </row>
    <row r="6210" spans="73:82" ht="15.75">
      <c r="BU6210" s="8"/>
      <c r="BZ6210" s="8"/>
      <c r="CD6210" s="8"/>
    </row>
    <row r="6211" spans="73:82" ht="15.75">
      <c r="BU6211" s="8"/>
      <c r="BZ6211" s="8"/>
      <c r="CD6211" s="8"/>
    </row>
    <row r="6212" spans="73:82" ht="15.75">
      <c r="BU6212" s="8"/>
      <c r="BZ6212" s="8"/>
      <c r="CD6212" s="8"/>
    </row>
    <row r="6213" spans="73:82" ht="15.75">
      <c r="BU6213" s="8"/>
      <c r="BZ6213" s="8"/>
      <c r="CD6213" s="8"/>
    </row>
    <row r="6214" spans="73:82" ht="15.75">
      <c r="BU6214" s="8"/>
      <c r="BZ6214" s="8"/>
      <c r="CD6214" s="8"/>
    </row>
    <row r="6215" spans="73:82" ht="15.75">
      <c r="BU6215" s="8"/>
      <c r="BZ6215" s="8"/>
      <c r="CD6215" s="8"/>
    </row>
    <row r="6216" spans="73:82" ht="15.75">
      <c r="BU6216" s="8"/>
      <c r="BZ6216" s="8"/>
      <c r="CD6216" s="8"/>
    </row>
    <row r="6217" spans="73:82" ht="15.75">
      <c r="BU6217" s="8"/>
      <c r="BZ6217" s="8"/>
      <c r="CD6217" s="8"/>
    </row>
    <row r="6218" spans="73:82" ht="15.75">
      <c r="BU6218" s="8"/>
      <c r="BZ6218" s="8"/>
      <c r="CD6218" s="8"/>
    </row>
    <row r="6219" spans="73:82" ht="15.75">
      <c r="BU6219" s="8"/>
      <c r="BZ6219" s="8"/>
      <c r="CD6219" s="8"/>
    </row>
    <row r="6220" spans="73:82" ht="15.75">
      <c r="BU6220" s="8"/>
      <c r="BZ6220" s="8"/>
      <c r="CD6220" s="8"/>
    </row>
    <row r="6221" spans="73:82" ht="15.75">
      <c r="BU6221" s="8"/>
      <c r="BZ6221" s="8"/>
      <c r="CD6221" s="8"/>
    </row>
    <row r="6222" spans="73:82" ht="15.75">
      <c r="BU6222" s="8"/>
      <c r="BZ6222" s="8"/>
      <c r="CD6222" s="8"/>
    </row>
    <row r="6223" spans="73:82" ht="15.75">
      <c r="BU6223" s="8"/>
      <c r="BZ6223" s="8"/>
      <c r="CD6223" s="8"/>
    </row>
    <row r="6224" spans="73:82" ht="15.75">
      <c r="BU6224" s="8"/>
      <c r="BZ6224" s="8"/>
      <c r="CD6224" s="8"/>
    </row>
    <row r="6225" spans="73:82" ht="15.75">
      <c r="BU6225" s="8"/>
      <c r="BZ6225" s="8"/>
      <c r="CD6225" s="8"/>
    </row>
    <row r="6226" spans="73:82" ht="15.75">
      <c r="BU6226" s="8"/>
      <c r="BZ6226" s="8"/>
      <c r="CD6226" s="8"/>
    </row>
    <row r="6227" spans="73:82" ht="15.75">
      <c r="BU6227" s="8"/>
      <c r="BZ6227" s="8"/>
      <c r="CD6227" s="8"/>
    </row>
    <row r="6228" spans="73:82" ht="15.75">
      <c r="BU6228" s="8"/>
      <c r="BZ6228" s="8"/>
      <c r="CD6228" s="8"/>
    </row>
    <row r="6229" spans="73:82" ht="15.75">
      <c r="BU6229" s="8"/>
      <c r="BZ6229" s="8"/>
      <c r="CD6229" s="8"/>
    </row>
    <row r="6230" spans="73:82" ht="15.75">
      <c r="BU6230" s="8"/>
      <c r="BZ6230" s="8"/>
      <c r="CD6230" s="8"/>
    </row>
    <row r="6231" spans="73:82" ht="15.75">
      <c r="BU6231" s="8"/>
      <c r="BZ6231" s="8"/>
      <c r="CD6231" s="8"/>
    </row>
    <row r="6232" spans="73:82" ht="15.75">
      <c r="BU6232" s="8"/>
      <c r="BZ6232" s="8"/>
      <c r="CD6232" s="8"/>
    </row>
    <row r="6233" spans="73:82" ht="15.75">
      <c r="BU6233" s="8"/>
      <c r="BZ6233" s="8"/>
      <c r="CD6233" s="8"/>
    </row>
    <row r="6234" spans="73:82" ht="15.75">
      <c r="BU6234" s="8"/>
      <c r="BZ6234" s="8"/>
      <c r="CD6234" s="8"/>
    </row>
    <row r="6235" spans="73:82" ht="15.75">
      <c r="BU6235" s="8"/>
      <c r="BZ6235" s="8"/>
      <c r="CD6235" s="8"/>
    </row>
    <row r="6236" spans="73:82" ht="15.75">
      <c r="BU6236" s="8"/>
      <c r="BZ6236" s="8"/>
      <c r="CD6236" s="8"/>
    </row>
    <row r="6237" spans="73:82" ht="15.75">
      <c r="BU6237" s="8"/>
      <c r="BZ6237" s="8"/>
      <c r="CD6237" s="8"/>
    </row>
    <row r="6238" spans="73:82" ht="15.75">
      <c r="BU6238" s="8"/>
      <c r="BZ6238" s="8"/>
      <c r="CD6238" s="8"/>
    </row>
    <row r="6239" spans="73:82" ht="15.75">
      <c r="BU6239" s="8"/>
      <c r="BZ6239" s="8"/>
      <c r="CD6239" s="8"/>
    </row>
    <row r="6240" spans="73:82" ht="15.75">
      <c r="BU6240" s="8"/>
      <c r="BZ6240" s="8"/>
      <c r="CD6240" s="8"/>
    </row>
    <row r="6241" spans="73:82" ht="15.75">
      <c r="BU6241" s="8"/>
      <c r="BZ6241" s="8"/>
      <c r="CD6241" s="8"/>
    </row>
    <row r="6242" spans="73:82" ht="15.75">
      <c r="BU6242" s="8"/>
      <c r="BZ6242" s="8"/>
      <c r="CD6242" s="8"/>
    </row>
    <row r="6243" spans="73:82" ht="15.75">
      <c r="BU6243" s="8"/>
      <c r="BZ6243" s="8"/>
      <c r="CD6243" s="8"/>
    </row>
    <row r="6244" spans="73:82" ht="15.75">
      <c r="BU6244" s="8"/>
      <c r="BZ6244" s="8"/>
      <c r="CD6244" s="8"/>
    </row>
    <row r="6245" spans="73:82" ht="15.75">
      <c r="BU6245" s="8"/>
      <c r="BZ6245" s="8"/>
      <c r="CD6245" s="8"/>
    </row>
    <row r="6246" spans="73:82" ht="15.75">
      <c r="BU6246" s="8"/>
      <c r="BZ6246" s="8"/>
      <c r="CD6246" s="8"/>
    </row>
    <row r="6247" spans="73:82" ht="15.75">
      <c r="BU6247" s="8"/>
      <c r="BZ6247" s="8"/>
      <c r="CD6247" s="8"/>
    </row>
    <row r="6248" spans="73:82" ht="15.75">
      <c r="BU6248" s="8"/>
      <c r="BZ6248" s="8"/>
      <c r="CD6248" s="8"/>
    </row>
    <row r="6249" spans="73:82" ht="15.75">
      <c r="BU6249" s="8"/>
      <c r="BZ6249" s="8"/>
      <c r="CD6249" s="8"/>
    </row>
    <row r="6250" spans="73:82" ht="15.75">
      <c r="BU6250" s="8"/>
      <c r="BZ6250" s="8"/>
      <c r="CD6250" s="8"/>
    </row>
    <row r="6251" spans="73:82" ht="15.75">
      <c r="BU6251" s="8"/>
      <c r="BZ6251" s="8"/>
      <c r="CD6251" s="8"/>
    </row>
    <row r="6252" spans="73:82" ht="15.75">
      <c r="BU6252" s="8"/>
      <c r="BZ6252" s="8"/>
      <c r="CD6252" s="8"/>
    </row>
    <row r="6253" spans="73:82" ht="15.75">
      <c r="BU6253" s="8"/>
      <c r="BZ6253" s="8"/>
      <c r="CD6253" s="8"/>
    </row>
    <row r="6254" spans="73:82" ht="15.75">
      <c r="BU6254" s="8"/>
      <c r="BZ6254" s="8"/>
      <c r="CD6254" s="8"/>
    </row>
    <row r="6255" spans="73:82" ht="15.75">
      <c r="BU6255" s="8"/>
      <c r="BZ6255" s="8"/>
      <c r="CD6255" s="8"/>
    </row>
    <row r="6256" spans="73:82" ht="15.75">
      <c r="BU6256" s="8"/>
      <c r="BZ6256" s="8"/>
      <c r="CD6256" s="8"/>
    </row>
    <row r="6257" spans="73:82" ht="15.75">
      <c r="BU6257" s="8"/>
      <c r="BZ6257" s="8"/>
      <c r="CD6257" s="8"/>
    </row>
    <row r="6258" spans="73:82" ht="15.75">
      <c r="BU6258" s="8"/>
      <c r="BZ6258" s="8"/>
      <c r="CD6258" s="8"/>
    </row>
    <row r="6259" spans="73:82" ht="15.75">
      <c r="BU6259" s="8"/>
      <c r="BZ6259" s="8"/>
      <c r="CD6259" s="8"/>
    </row>
    <row r="6260" spans="73:82" ht="15.75">
      <c r="BU6260" s="8"/>
      <c r="BZ6260" s="8"/>
      <c r="CD6260" s="8"/>
    </row>
    <row r="6261" spans="73:82" ht="15.75">
      <c r="BU6261" s="8"/>
      <c r="BZ6261" s="8"/>
      <c r="CD6261" s="8"/>
    </row>
    <row r="6262" spans="73:82" ht="15.75">
      <c r="BU6262" s="8"/>
      <c r="BZ6262" s="8"/>
      <c r="CD6262" s="8"/>
    </row>
    <row r="6263" spans="73:82" ht="15.75">
      <c r="BU6263" s="8"/>
      <c r="BZ6263" s="8"/>
      <c r="CD6263" s="8"/>
    </row>
    <row r="6264" spans="73:82" ht="15.75">
      <c r="BU6264" s="8"/>
      <c r="BZ6264" s="8"/>
      <c r="CD6264" s="8"/>
    </row>
    <row r="6265" spans="73:82" ht="15.75">
      <c r="BU6265" s="8"/>
      <c r="BZ6265" s="8"/>
      <c r="CD6265" s="8"/>
    </row>
    <row r="6266" spans="73:82" ht="15.75">
      <c r="BU6266" s="8"/>
      <c r="BZ6266" s="8"/>
      <c r="CD6266" s="8"/>
    </row>
    <row r="6267" spans="73:82" ht="15.75">
      <c r="BU6267" s="8"/>
      <c r="BZ6267" s="8"/>
      <c r="CD6267" s="8"/>
    </row>
    <row r="6268" spans="73:82" ht="15.75">
      <c r="BU6268" s="8"/>
      <c r="BZ6268" s="8"/>
      <c r="CD6268" s="8"/>
    </row>
    <row r="6269" spans="73:82" ht="15.75">
      <c r="BU6269" s="8"/>
      <c r="BZ6269" s="8"/>
      <c r="CD6269" s="8"/>
    </row>
    <row r="6270" spans="73:82" ht="15.75">
      <c r="BU6270" s="8"/>
      <c r="BZ6270" s="8"/>
      <c r="CD6270" s="8"/>
    </row>
    <row r="6271" spans="73:82" ht="15.75">
      <c r="BU6271" s="8"/>
      <c r="BZ6271" s="8"/>
      <c r="CD6271" s="8"/>
    </row>
    <row r="6272" spans="73:82" ht="15.75">
      <c r="BU6272" s="8"/>
      <c r="BZ6272" s="8"/>
      <c r="CD6272" s="8"/>
    </row>
    <row r="6273" spans="73:82" ht="15.75">
      <c r="BU6273" s="8"/>
      <c r="BZ6273" s="8"/>
      <c r="CD6273" s="8"/>
    </row>
    <row r="6274" spans="73:82" ht="15.75">
      <c r="BU6274" s="8"/>
      <c r="BZ6274" s="8"/>
      <c r="CD6274" s="8"/>
    </row>
    <row r="6275" spans="73:82" ht="15.75">
      <c r="BU6275" s="8"/>
      <c r="BZ6275" s="8"/>
      <c r="CD6275" s="8"/>
    </row>
    <row r="6276" spans="73:82" ht="15.75">
      <c r="BU6276" s="8"/>
      <c r="BZ6276" s="8"/>
      <c r="CD6276" s="8"/>
    </row>
    <row r="6277" spans="73:82" ht="15.75">
      <c r="BU6277" s="8"/>
      <c r="BZ6277" s="8"/>
      <c r="CD6277" s="8"/>
    </row>
    <row r="6278" spans="73:82" ht="15.75">
      <c r="BU6278" s="8"/>
      <c r="BZ6278" s="8"/>
      <c r="CD6278" s="8"/>
    </row>
    <row r="6279" spans="73:82" ht="15.75">
      <c r="BU6279" s="8"/>
      <c r="BZ6279" s="8"/>
      <c r="CD6279" s="8"/>
    </row>
    <row r="6280" spans="73:82" ht="15.75">
      <c r="BU6280" s="8"/>
      <c r="BZ6280" s="8"/>
      <c r="CD6280" s="8"/>
    </row>
    <row r="6281" spans="73:82" ht="15.75">
      <c r="BU6281" s="8"/>
      <c r="BZ6281" s="8"/>
      <c r="CD6281" s="8"/>
    </row>
    <row r="6282" spans="73:82" ht="15.75">
      <c r="BU6282" s="8"/>
      <c r="BZ6282" s="8"/>
      <c r="CD6282" s="8"/>
    </row>
    <row r="6283" spans="73:82" ht="15.75">
      <c r="BU6283" s="8"/>
      <c r="BZ6283" s="8"/>
      <c r="CD6283" s="8"/>
    </row>
    <row r="6284" spans="73:82" ht="15.75">
      <c r="BU6284" s="8"/>
      <c r="BZ6284" s="8"/>
      <c r="CD6284" s="8"/>
    </row>
    <row r="6285" spans="73:82" ht="15.75">
      <c r="BU6285" s="8"/>
      <c r="BZ6285" s="8"/>
      <c r="CD6285" s="8"/>
    </row>
    <row r="6286" spans="73:82" ht="15.75">
      <c r="BU6286" s="8"/>
      <c r="BZ6286" s="8"/>
      <c r="CD6286" s="8"/>
    </row>
    <row r="6287" spans="73:82" ht="15.75">
      <c r="BU6287" s="8"/>
      <c r="BZ6287" s="8"/>
      <c r="CD6287" s="8"/>
    </row>
    <row r="6288" spans="73:82" ht="15.75">
      <c r="BU6288" s="8"/>
      <c r="BZ6288" s="8"/>
      <c r="CD6288" s="8"/>
    </row>
    <row r="6289" spans="73:82" ht="15.75">
      <c r="BU6289" s="8"/>
      <c r="BZ6289" s="8"/>
      <c r="CD6289" s="8"/>
    </row>
    <row r="6290" spans="73:82" ht="15.75">
      <c r="BU6290" s="8"/>
      <c r="BZ6290" s="8"/>
      <c r="CD6290" s="8"/>
    </row>
    <row r="6291" spans="73:82" ht="15.75">
      <c r="BU6291" s="8"/>
      <c r="BZ6291" s="8"/>
      <c r="CD6291" s="8"/>
    </row>
    <row r="6292" spans="73:82" ht="15.75">
      <c r="BU6292" s="8"/>
      <c r="BZ6292" s="8"/>
      <c r="CD6292" s="8"/>
    </row>
    <row r="6293" spans="73:82" ht="15.75">
      <c r="BU6293" s="8"/>
      <c r="BZ6293" s="8"/>
      <c r="CD6293" s="8"/>
    </row>
    <row r="6294" spans="73:82" ht="15.75">
      <c r="BU6294" s="8"/>
      <c r="BZ6294" s="8"/>
      <c r="CD6294" s="8"/>
    </row>
    <row r="6295" spans="73:82" ht="15.75">
      <c r="BU6295" s="8"/>
      <c r="BZ6295" s="8"/>
      <c r="CD6295" s="8"/>
    </row>
    <row r="6296" spans="73:82" ht="15.75">
      <c r="BU6296" s="8"/>
      <c r="BZ6296" s="8"/>
      <c r="CD6296" s="8"/>
    </row>
    <row r="6297" spans="73:82" ht="15.75">
      <c r="BU6297" s="8"/>
      <c r="BZ6297" s="8"/>
      <c r="CD6297" s="8"/>
    </row>
    <row r="6298" spans="73:82" ht="15.75">
      <c r="BU6298" s="8"/>
      <c r="BZ6298" s="8"/>
      <c r="CD6298" s="8"/>
    </row>
    <row r="6299" spans="73:82" ht="15.75">
      <c r="BU6299" s="8"/>
      <c r="BZ6299" s="8"/>
      <c r="CD6299" s="8"/>
    </row>
    <row r="6300" spans="73:82" ht="15.75">
      <c r="BU6300" s="8"/>
      <c r="BZ6300" s="8"/>
      <c r="CD6300" s="8"/>
    </row>
    <row r="6301" spans="73:82" ht="15.75">
      <c r="BU6301" s="8"/>
      <c r="BZ6301" s="8"/>
      <c r="CD6301" s="8"/>
    </row>
    <row r="6302" spans="73:82" ht="15.75">
      <c r="BU6302" s="8"/>
      <c r="BZ6302" s="8"/>
      <c r="CD6302" s="8"/>
    </row>
    <row r="6303" spans="73:82" ht="15.75">
      <c r="BU6303" s="8"/>
      <c r="BZ6303" s="8"/>
      <c r="CD6303" s="8"/>
    </row>
    <row r="6304" spans="73:82" ht="15.75">
      <c r="BU6304" s="8"/>
      <c r="BZ6304" s="8"/>
      <c r="CD6304" s="8"/>
    </row>
    <row r="6305" spans="73:82" ht="15.75">
      <c r="BU6305" s="8"/>
      <c r="BZ6305" s="8"/>
      <c r="CD6305" s="8"/>
    </row>
    <row r="6306" spans="73:82" ht="15.75">
      <c r="BU6306" s="8"/>
      <c r="BZ6306" s="8"/>
      <c r="CD6306" s="8"/>
    </row>
    <row r="6307" spans="73:82" ht="15.75">
      <c r="BU6307" s="8"/>
      <c r="BZ6307" s="8"/>
      <c r="CD6307" s="8"/>
    </row>
    <row r="6308" spans="73:82" ht="15.75">
      <c r="BU6308" s="8"/>
      <c r="BZ6308" s="8"/>
      <c r="CD6308" s="8"/>
    </row>
    <row r="6309" spans="73:82" ht="15.75">
      <c r="BU6309" s="8"/>
      <c r="BZ6309" s="8"/>
      <c r="CD6309" s="8"/>
    </row>
    <row r="6310" spans="73:82" ht="15.75">
      <c r="BU6310" s="8"/>
      <c r="BZ6310" s="8"/>
      <c r="CD6310" s="8"/>
    </row>
    <row r="6311" spans="73:82" ht="15.75">
      <c r="BU6311" s="8"/>
      <c r="BZ6311" s="8"/>
      <c r="CD6311" s="8"/>
    </row>
    <row r="6312" spans="73:82" ht="15.75">
      <c r="BU6312" s="8"/>
      <c r="BZ6312" s="8"/>
      <c r="CD6312" s="8"/>
    </row>
    <row r="6313" spans="73:82" ht="15.75">
      <c r="BU6313" s="8"/>
      <c r="BZ6313" s="8"/>
      <c r="CD6313" s="8"/>
    </row>
    <row r="6314" spans="73:82" ht="15.75">
      <c r="BU6314" s="8"/>
      <c r="BZ6314" s="8"/>
      <c r="CD6314" s="8"/>
    </row>
    <row r="6315" spans="73:82" ht="15.75">
      <c r="BU6315" s="8"/>
      <c r="BZ6315" s="8"/>
      <c r="CD6315" s="8"/>
    </row>
    <row r="6316" spans="73:82" ht="15.75">
      <c r="BU6316" s="8"/>
      <c r="BZ6316" s="8"/>
      <c r="CD6316" s="8"/>
    </row>
    <row r="6317" spans="73:82" ht="15.75">
      <c r="BU6317" s="8"/>
      <c r="BZ6317" s="8"/>
      <c r="CD6317" s="8"/>
    </row>
    <row r="6318" spans="73:82" ht="15.75">
      <c r="BU6318" s="8"/>
      <c r="BZ6318" s="8"/>
      <c r="CD6318" s="8"/>
    </row>
    <row r="6319" spans="73:82" ht="15.75">
      <c r="BU6319" s="8"/>
      <c r="BZ6319" s="8"/>
      <c r="CD6319" s="8"/>
    </row>
    <row r="6320" spans="73:82" ht="15.75">
      <c r="BU6320" s="8"/>
      <c r="BZ6320" s="8"/>
      <c r="CD6320" s="8"/>
    </row>
    <row r="6321" spans="73:82" ht="15.75">
      <c r="BU6321" s="8"/>
      <c r="BZ6321" s="8"/>
      <c r="CD6321" s="8"/>
    </row>
    <row r="6322" spans="73:82" ht="15.75">
      <c r="BU6322" s="8"/>
      <c r="BZ6322" s="8"/>
      <c r="CD6322" s="8"/>
    </row>
    <row r="6323" spans="73:82" ht="15.75">
      <c r="BU6323" s="8"/>
      <c r="BZ6323" s="8"/>
      <c r="CD6323" s="8"/>
    </row>
    <row r="6324" spans="73:82" ht="15.75">
      <c r="BU6324" s="8"/>
      <c r="BZ6324" s="8"/>
      <c r="CD6324" s="8"/>
    </row>
    <row r="6325" spans="73:82" ht="15.75">
      <c r="BU6325" s="8"/>
      <c r="BZ6325" s="8"/>
      <c r="CD6325" s="8"/>
    </row>
    <row r="6326" spans="73:82" ht="15.75">
      <c r="BU6326" s="8"/>
      <c r="BZ6326" s="8"/>
      <c r="CD6326" s="8"/>
    </row>
    <row r="6327" spans="73:82" ht="15.75">
      <c r="BU6327" s="8"/>
      <c r="BZ6327" s="8"/>
      <c r="CD6327" s="8"/>
    </row>
    <row r="6328" spans="73:82" ht="15.75">
      <c r="BU6328" s="8"/>
      <c r="BZ6328" s="8"/>
      <c r="CD6328" s="8"/>
    </row>
    <row r="6329" spans="73:82" ht="15.75">
      <c r="BU6329" s="8"/>
      <c r="BZ6329" s="8"/>
      <c r="CD6329" s="8"/>
    </row>
    <row r="6330" spans="73:82" ht="15.75">
      <c r="BU6330" s="8"/>
      <c r="BZ6330" s="8"/>
      <c r="CD6330" s="8"/>
    </row>
    <row r="6331" spans="73:82" ht="15.75">
      <c r="BU6331" s="8"/>
      <c r="BZ6331" s="8"/>
      <c r="CD6331" s="8"/>
    </row>
    <row r="6332" spans="73:82" ht="15.75">
      <c r="BU6332" s="8"/>
      <c r="BZ6332" s="8"/>
      <c r="CD6332" s="8"/>
    </row>
    <row r="6333" spans="73:82" ht="15.75">
      <c r="BU6333" s="8"/>
      <c r="BZ6333" s="8"/>
      <c r="CD6333" s="8"/>
    </row>
    <row r="6334" spans="73:82" ht="15.75">
      <c r="BU6334" s="8"/>
      <c r="BZ6334" s="8"/>
      <c r="CD6334" s="8"/>
    </row>
    <row r="6335" spans="73:82" ht="15.75">
      <c r="BU6335" s="8"/>
      <c r="BZ6335" s="8"/>
      <c r="CD6335" s="8"/>
    </row>
    <row r="6336" spans="73:82" ht="15.75">
      <c r="BU6336" s="8"/>
      <c r="BZ6336" s="8"/>
      <c r="CD6336" s="8"/>
    </row>
    <row r="6337" spans="73:82" ht="15.75">
      <c r="BU6337" s="8"/>
      <c r="BZ6337" s="8"/>
      <c r="CD6337" s="8"/>
    </row>
    <row r="6338" spans="73:82" ht="15.75">
      <c r="BU6338" s="8"/>
      <c r="BZ6338" s="8"/>
      <c r="CD6338" s="8"/>
    </row>
    <row r="6339" spans="73:82" ht="15.75">
      <c r="BU6339" s="8"/>
      <c r="BZ6339" s="8"/>
      <c r="CD6339" s="8"/>
    </row>
    <row r="6340" spans="73:82" ht="15.75">
      <c r="BU6340" s="8"/>
      <c r="BZ6340" s="8"/>
      <c r="CD6340" s="8"/>
    </row>
    <row r="6341" spans="73:82" ht="15.75">
      <c r="BU6341" s="8"/>
      <c r="BZ6341" s="8"/>
      <c r="CD6341" s="8"/>
    </row>
    <row r="6342" spans="73:82" ht="15.75">
      <c r="BU6342" s="8"/>
      <c r="BZ6342" s="8"/>
      <c r="CD6342" s="8"/>
    </row>
    <row r="6343" spans="73:82" ht="15.75">
      <c r="BU6343" s="8"/>
      <c r="BZ6343" s="8"/>
      <c r="CD6343" s="8"/>
    </row>
    <row r="6344" spans="73:82" ht="15.75">
      <c r="BU6344" s="8"/>
      <c r="BZ6344" s="8"/>
      <c r="CD6344" s="8"/>
    </row>
    <row r="6345" spans="73:82" ht="15.75">
      <c r="BU6345" s="8"/>
      <c r="BZ6345" s="8"/>
      <c r="CD6345" s="8"/>
    </row>
    <row r="6346" spans="73:82" ht="15.75">
      <c r="BU6346" s="8"/>
      <c r="BZ6346" s="8"/>
      <c r="CD6346" s="8"/>
    </row>
    <row r="6347" spans="73:82" ht="15.75">
      <c r="BU6347" s="8"/>
      <c r="BZ6347" s="8"/>
      <c r="CD6347" s="8"/>
    </row>
    <row r="6348" spans="73:82" ht="15.75">
      <c r="BU6348" s="8"/>
      <c r="BZ6348" s="8"/>
      <c r="CD6348" s="8"/>
    </row>
    <row r="6349" spans="73:82" ht="15.75">
      <c r="BU6349" s="8"/>
      <c r="BZ6349" s="8"/>
      <c r="CD6349" s="8"/>
    </row>
    <row r="6350" spans="73:82" ht="15.75">
      <c r="BU6350" s="8"/>
      <c r="BZ6350" s="8"/>
      <c r="CD6350" s="8"/>
    </row>
    <row r="6351" spans="73:82" ht="15.75">
      <c r="BU6351" s="8"/>
      <c r="BZ6351" s="8"/>
      <c r="CD6351" s="8"/>
    </row>
    <row r="6352" spans="73:82" ht="15.75">
      <c r="BU6352" s="8"/>
      <c r="BZ6352" s="8"/>
      <c r="CD6352" s="8"/>
    </row>
    <row r="6353" spans="73:82" ht="15.75">
      <c r="BU6353" s="8"/>
      <c r="BZ6353" s="8"/>
      <c r="CD6353" s="8"/>
    </row>
    <row r="6354" spans="73:82" ht="15.75">
      <c r="BU6354" s="8"/>
      <c r="BZ6354" s="8"/>
      <c r="CD6354" s="8"/>
    </row>
    <row r="6355" spans="73:82" ht="15.75">
      <c r="BU6355" s="8"/>
      <c r="BZ6355" s="8"/>
      <c r="CD6355" s="8"/>
    </row>
    <row r="6356" spans="73:82" ht="15.75">
      <c r="BU6356" s="8"/>
      <c r="BZ6356" s="8"/>
      <c r="CD6356" s="8"/>
    </row>
    <row r="6357" spans="73:82" ht="15.75">
      <c r="BU6357" s="8"/>
      <c r="BZ6357" s="8"/>
      <c r="CD6357" s="8"/>
    </row>
    <row r="6358" spans="73:82" ht="15.75">
      <c r="BU6358" s="8"/>
      <c r="BZ6358" s="8"/>
      <c r="CD6358" s="8"/>
    </row>
    <row r="6359" spans="73:82" ht="15.75">
      <c r="BU6359" s="8"/>
      <c r="BZ6359" s="8"/>
      <c r="CD6359" s="8"/>
    </row>
    <row r="6360" spans="73:82" ht="15.75">
      <c r="BU6360" s="8"/>
      <c r="BZ6360" s="8"/>
      <c r="CD6360" s="8"/>
    </row>
    <row r="6361" spans="73:82" ht="15.75">
      <c r="BU6361" s="8"/>
      <c r="BZ6361" s="8"/>
      <c r="CD6361" s="8"/>
    </row>
    <row r="6362" spans="73:82" ht="15.75">
      <c r="BU6362" s="8"/>
      <c r="BZ6362" s="8"/>
      <c r="CD6362" s="8"/>
    </row>
    <row r="6363" spans="73:82" ht="15.75">
      <c r="BU6363" s="8"/>
      <c r="BZ6363" s="8"/>
      <c r="CD6363" s="8"/>
    </row>
    <row r="6364" spans="73:82" ht="15.75">
      <c r="BU6364" s="8"/>
      <c r="BZ6364" s="8"/>
      <c r="CD6364" s="8"/>
    </row>
    <row r="6365" spans="73:82" ht="15.75">
      <c r="BU6365" s="8"/>
      <c r="BZ6365" s="8"/>
      <c r="CD6365" s="8"/>
    </row>
    <row r="6366" spans="73:82" ht="15.75">
      <c r="BU6366" s="8"/>
      <c r="BZ6366" s="8"/>
      <c r="CD6366" s="8"/>
    </row>
    <row r="6367" spans="73:82" ht="15.75">
      <c r="BU6367" s="8"/>
      <c r="BZ6367" s="8"/>
      <c r="CD6367" s="8"/>
    </row>
    <row r="6368" spans="73:82" ht="15.75">
      <c r="BU6368" s="8"/>
      <c r="BZ6368" s="8"/>
      <c r="CD6368" s="8"/>
    </row>
    <row r="6369" spans="73:82" ht="15.75">
      <c r="BU6369" s="8"/>
      <c r="BZ6369" s="8"/>
      <c r="CD6369" s="8"/>
    </row>
    <row r="6370" spans="73:82" ht="15.75">
      <c r="BU6370" s="8"/>
      <c r="BZ6370" s="8"/>
      <c r="CD6370" s="8"/>
    </row>
    <row r="6371" spans="73:82" ht="15.75">
      <c r="BU6371" s="8"/>
      <c r="BZ6371" s="8"/>
      <c r="CD6371" s="8"/>
    </row>
    <row r="6372" spans="73:82" ht="15.75">
      <c r="BU6372" s="8"/>
      <c r="BZ6372" s="8"/>
      <c r="CD6372" s="8"/>
    </row>
    <row r="6373" spans="73:82" ht="15.75">
      <c r="BU6373" s="8"/>
      <c r="BZ6373" s="8"/>
      <c r="CD6373" s="8"/>
    </row>
    <row r="6374" spans="73:82" ht="15.75">
      <c r="BU6374" s="8"/>
      <c r="BZ6374" s="8"/>
      <c r="CD6374" s="8"/>
    </row>
    <row r="6375" spans="73:82" ht="15.75">
      <c r="BU6375" s="8"/>
      <c r="BZ6375" s="8"/>
      <c r="CD6375" s="8"/>
    </row>
    <row r="6376" spans="73:82" ht="15.75">
      <c r="BU6376" s="8"/>
      <c r="BZ6376" s="8"/>
      <c r="CD6376" s="8"/>
    </row>
    <row r="6377" spans="73:82" ht="15.75">
      <c r="BU6377" s="8"/>
      <c r="BZ6377" s="8"/>
      <c r="CD6377" s="8"/>
    </row>
    <row r="6378" spans="73:82" ht="15.75">
      <c r="BU6378" s="8"/>
      <c r="BZ6378" s="8"/>
      <c r="CD6378" s="8"/>
    </row>
    <row r="6379" spans="73:82" ht="15.75">
      <c r="BU6379" s="8"/>
      <c r="BZ6379" s="8"/>
      <c r="CD6379" s="8"/>
    </row>
    <row r="6380" spans="73:82" ht="15.75">
      <c r="BU6380" s="8"/>
      <c r="BZ6380" s="8"/>
      <c r="CD6380" s="8"/>
    </row>
    <row r="6381" spans="73:82" ht="15.75">
      <c r="BU6381" s="8"/>
      <c r="BZ6381" s="8"/>
      <c r="CD6381" s="8"/>
    </row>
    <row r="6382" spans="73:82" ht="15.75">
      <c r="BU6382" s="8"/>
      <c r="BZ6382" s="8"/>
      <c r="CD6382" s="8"/>
    </row>
    <row r="6383" spans="73:82" ht="15.75">
      <c r="BU6383" s="8"/>
      <c r="BZ6383" s="8"/>
      <c r="CD6383" s="8"/>
    </row>
    <row r="6384" spans="73:82" ht="15.75">
      <c r="BU6384" s="8"/>
      <c r="BZ6384" s="8"/>
      <c r="CD6384" s="8"/>
    </row>
    <row r="6385" spans="73:82" ht="15.75">
      <c r="BU6385" s="8"/>
      <c r="BZ6385" s="8"/>
      <c r="CD6385" s="8"/>
    </row>
    <row r="6386" spans="73:82" ht="15.75">
      <c r="BU6386" s="8"/>
      <c r="BZ6386" s="8"/>
      <c r="CD6386" s="8"/>
    </row>
    <row r="6387" spans="73:82" ht="15.75">
      <c r="BU6387" s="8"/>
      <c r="BZ6387" s="8"/>
      <c r="CD6387" s="8"/>
    </row>
    <row r="6388" spans="73:82" ht="15.75">
      <c r="BU6388" s="8"/>
      <c r="BZ6388" s="8"/>
      <c r="CD6388" s="8"/>
    </row>
    <row r="6389" spans="73:82" ht="15.75">
      <c r="BU6389" s="8"/>
      <c r="BZ6389" s="8"/>
      <c r="CD6389" s="8"/>
    </row>
    <row r="6390" spans="73:82" ht="15.75">
      <c r="BU6390" s="8"/>
      <c r="BZ6390" s="8"/>
      <c r="CD6390" s="8"/>
    </row>
    <row r="6391" spans="73:82" ht="15.75">
      <c r="BU6391" s="8"/>
      <c r="BZ6391" s="8"/>
      <c r="CD6391" s="8"/>
    </row>
    <row r="6392" spans="73:82" ht="15.75">
      <c r="BU6392" s="8"/>
      <c r="BZ6392" s="8"/>
      <c r="CD6392" s="8"/>
    </row>
    <row r="6393" spans="73:82" ht="15.75">
      <c r="BU6393" s="8"/>
      <c r="BZ6393" s="8"/>
      <c r="CD6393" s="8"/>
    </row>
    <row r="6394" spans="73:82" ht="15.75">
      <c r="BU6394" s="8"/>
      <c r="BZ6394" s="8"/>
      <c r="CD6394" s="8"/>
    </row>
    <row r="6395" spans="73:82" ht="15.75">
      <c r="BU6395" s="8"/>
      <c r="BZ6395" s="8"/>
      <c r="CD6395" s="8"/>
    </row>
    <row r="6396" spans="73:82" ht="15.75">
      <c r="BU6396" s="8"/>
      <c r="BZ6396" s="8"/>
      <c r="CD6396" s="8"/>
    </row>
    <row r="6397" spans="73:82" ht="15.75">
      <c r="BU6397" s="8"/>
      <c r="BZ6397" s="8"/>
      <c r="CD6397" s="8"/>
    </row>
    <row r="6398" spans="73:82" ht="15.75">
      <c r="BU6398" s="8"/>
      <c r="BZ6398" s="8"/>
      <c r="CD6398" s="8"/>
    </row>
    <row r="6399" spans="73:82" ht="15.75">
      <c r="BU6399" s="8"/>
      <c r="BZ6399" s="8"/>
      <c r="CD6399" s="8"/>
    </row>
    <row r="6400" spans="73:82" ht="15.75">
      <c r="BU6400" s="8"/>
      <c r="BZ6400" s="8"/>
      <c r="CD6400" s="8"/>
    </row>
    <row r="6401" spans="73:82" ht="15.75">
      <c r="BU6401" s="8"/>
      <c r="BZ6401" s="8"/>
      <c r="CD6401" s="8"/>
    </row>
    <row r="6402" spans="73:82" ht="15.75">
      <c r="BU6402" s="8"/>
      <c r="BZ6402" s="8"/>
      <c r="CD6402" s="8"/>
    </row>
    <row r="6403" spans="73:82" ht="15.75">
      <c r="BU6403" s="8"/>
      <c r="BZ6403" s="8"/>
      <c r="CD6403" s="8"/>
    </row>
    <row r="6404" spans="73:82" ht="15.75">
      <c r="BU6404" s="8"/>
      <c r="BZ6404" s="8"/>
      <c r="CD6404" s="8"/>
    </row>
    <row r="6405" spans="73:82" ht="15.75">
      <c r="BU6405" s="8"/>
      <c r="BZ6405" s="8"/>
      <c r="CD6405" s="8"/>
    </row>
    <row r="6406" spans="73:82" ht="15.75">
      <c r="BU6406" s="8"/>
      <c r="BZ6406" s="8"/>
      <c r="CD6406" s="8"/>
    </row>
    <row r="6407" spans="73:82" ht="15.75">
      <c r="BU6407" s="8"/>
      <c r="BZ6407" s="8"/>
      <c r="CD6407" s="8"/>
    </row>
    <row r="6408" spans="73:82" ht="15.75">
      <c r="BU6408" s="8"/>
      <c r="BZ6408" s="8"/>
      <c r="CD6408" s="8"/>
    </row>
    <row r="6409" spans="73:82" ht="15.75">
      <c r="BU6409" s="8"/>
      <c r="BZ6409" s="8"/>
      <c r="CD6409" s="8"/>
    </row>
    <row r="6410" spans="73:82" ht="15.75">
      <c r="BU6410" s="8"/>
      <c r="BZ6410" s="8"/>
      <c r="CD6410" s="8"/>
    </row>
    <row r="6411" spans="73:82" ht="15.75">
      <c r="BU6411" s="8"/>
      <c r="BZ6411" s="8"/>
      <c r="CD6411" s="8"/>
    </row>
    <row r="6412" spans="73:82" ht="15.75">
      <c r="BU6412" s="8"/>
      <c r="BZ6412" s="8"/>
      <c r="CD6412" s="8"/>
    </row>
    <row r="6413" spans="73:82" ht="15.75">
      <c r="BU6413" s="8"/>
      <c r="BZ6413" s="8"/>
      <c r="CD6413" s="8"/>
    </row>
    <row r="6414" spans="73:82" ht="15.75">
      <c r="BU6414" s="8"/>
      <c r="BZ6414" s="8"/>
      <c r="CD6414" s="8"/>
    </row>
    <row r="6415" spans="73:82" ht="15.75">
      <c r="BU6415" s="8"/>
      <c r="BZ6415" s="8"/>
      <c r="CD6415" s="8"/>
    </row>
    <row r="6416" spans="73:82" ht="15.75">
      <c r="BU6416" s="8"/>
      <c r="BZ6416" s="8"/>
      <c r="CD6416" s="8"/>
    </row>
    <row r="6417" spans="73:82" ht="15.75">
      <c r="BU6417" s="8"/>
      <c r="BZ6417" s="8"/>
      <c r="CD6417" s="8"/>
    </row>
    <row r="6418" spans="73:82" ht="15.75">
      <c r="BU6418" s="8"/>
      <c r="BZ6418" s="8"/>
      <c r="CD6418" s="8"/>
    </row>
    <row r="6419" spans="73:82" ht="15.75">
      <c r="BU6419" s="8"/>
      <c r="BZ6419" s="8"/>
      <c r="CD6419" s="8"/>
    </row>
    <row r="6420" spans="73:82" ht="15.75">
      <c r="BU6420" s="8"/>
      <c r="BZ6420" s="8"/>
      <c r="CD6420" s="8"/>
    </row>
    <row r="6421" spans="73:82" ht="15.75">
      <c r="BU6421" s="8"/>
      <c r="BZ6421" s="8"/>
      <c r="CD6421" s="8"/>
    </row>
    <row r="6422" spans="73:82" ht="15.75">
      <c r="BU6422" s="8"/>
      <c r="BZ6422" s="8"/>
      <c r="CD6422" s="8"/>
    </row>
    <row r="6423" spans="73:82" ht="15.75">
      <c r="BU6423" s="8"/>
      <c r="BZ6423" s="8"/>
      <c r="CD6423" s="8"/>
    </row>
    <row r="6424" spans="73:82" ht="15.75">
      <c r="BU6424" s="8"/>
      <c r="BZ6424" s="8"/>
      <c r="CD6424" s="8"/>
    </row>
    <row r="6425" spans="73:82" ht="15.75">
      <c r="BU6425" s="8"/>
      <c r="BZ6425" s="8"/>
      <c r="CD6425" s="8"/>
    </row>
    <row r="6426" spans="73:82" ht="15.75">
      <c r="BU6426" s="8"/>
      <c r="BZ6426" s="8"/>
      <c r="CD6426" s="8"/>
    </row>
    <row r="6427" spans="73:82" ht="15.75">
      <c r="BU6427" s="8"/>
      <c r="BZ6427" s="8"/>
      <c r="CD6427" s="8"/>
    </row>
    <row r="6428" spans="73:82" ht="15.75">
      <c r="BU6428" s="8"/>
      <c r="BZ6428" s="8"/>
      <c r="CD6428" s="8"/>
    </row>
    <row r="6429" spans="73:82" ht="15.75">
      <c r="BU6429" s="8"/>
      <c r="BZ6429" s="8"/>
      <c r="CD6429" s="8"/>
    </row>
    <row r="6430" spans="73:82" ht="15.75">
      <c r="BU6430" s="8"/>
      <c r="BZ6430" s="8"/>
      <c r="CD6430" s="8"/>
    </row>
    <row r="6431" spans="73:82" ht="15.75">
      <c r="BU6431" s="8"/>
      <c r="BZ6431" s="8"/>
      <c r="CD6431" s="8"/>
    </row>
    <row r="6432" spans="73:82" ht="15.75">
      <c r="BU6432" s="8"/>
      <c r="BZ6432" s="8"/>
      <c r="CD6432" s="8"/>
    </row>
    <row r="6433" spans="73:82" ht="15.75">
      <c r="BU6433" s="8"/>
      <c r="BZ6433" s="8"/>
      <c r="CD6433" s="8"/>
    </row>
    <row r="6434" spans="73:82" ht="15.75">
      <c r="BU6434" s="8"/>
      <c r="BZ6434" s="8"/>
      <c r="CD6434" s="8"/>
    </row>
    <row r="6435" spans="73:82" ht="15.75">
      <c r="BU6435" s="8"/>
      <c r="BZ6435" s="8"/>
      <c r="CD6435" s="8"/>
    </row>
    <row r="6436" spans="73:82" ht="15.75">
      <c r="BU6436" s="8"/>
      <c r="BZ6436" s="8"/>
      <c r="CD6436" s="8"/>
    </row>
    <row r="6437" spans="73:82" ht="15.75">
      <c r="BU6437" s="8"/>
      <c r="BZ6437" s="8"/>
      <c r="CD6437" s="8"/>
    </row>
    <row r="6438" spans="73:82" ht="15.75">
      <c r="BU6438" s="8"/>
      <c r="BZ6438" s="8"/>
      <c r="CD6438" s="8"/>
    </row>
    <row r="6439" spans="73:82" ht="15.75">
      <c r="BU6439" s="8"/>
      <c r="BZ6439" s="8"/>
      <c r="CD6439" s="8"/>
    </row>
    <row r="6440" spans="73:82" ht="15.75">
      <c r="BU6440" s="8"/>
      <c r="BZ6440" s="8"/>
      <c r="CD6440" s="8"/>
    </row>
    <row r="6441" spans="73:82" ht="15.75">
      <c r="BU6441" s="8"/>
      <c r="BZ6441" s="8"/>
      <c r="CD6441" s="8"/>
    </row>
    <row r="6442" spans="73:82" ht="15.75">
      <c r="BU6442" s="8"/>
      <c r="BZ6442" s="8"/>
      <c r="CD6442" s="8"/>
    </row>
    <row r="6443" spans="73:82" ht="15.75">
      <c r="BU6443" s="8"/>
      <c r="BZ6443" s="8"/>
      <c r="CD6443" s="8"/>
    </row>
    <row r="6444" spans="73:82" ht="15.75">
      <c r="BU6444" s="8"/>
      <c r="BZ6444" s="8"/>
      <c r="CD6444" s="8"/>
    </row>
    <row r="6445" spans="73:82" ht="15.75">
      <c r="BU6445" s="8"/>
      <c r="BZ6445" s="8"/>
      <c r="CD6445" s="8"/>
    </row>
    <row r="6446" spans="73:82" ht="15.75">
      <c r="BU6446" s="8"/>
      <c r="BZ6446" s="8"/>
      <c r="CD6446" s="8"/>
    </row>
    <row r="6447" spans="73:82" ht="15.75">
      <c r="BU6447" s="8"/>
      <c r="BZ6447" s="8"/>
      <c r="CD6447" s="8"/>
    </row>
    <row r="6448" spans="73:82" ht="15.75">
      <c r="BU6448" s="8"/>
      <c r="BZ6448" s="8"/>
      <c r="CD6448" s="8"/>
    </row>
    <row r="6449" spans="73:82" ht="15.75">
      <c r="BU6449" s="8"/>
      <c r="BZ6449" s="8"/>
      <c r="CD6449" s="8"/>
    </row>
    <row r="6450" spans="73:82" ht="15.75">
      <c r="BU6450" s="8"/>
      <c r="BZ6450" s="8"/>
      <c r="CD6450" s="8"/>
    </row>
    <row r="6451" spans="73:82" ht="15.75">
      <c r="BU6451" s="8"/>
      <c r="BZ6451" s="8"/>
      <c r="CD6451" s="8"/>
    </row>
    <row r="6452" spans="73:82" ht="15.75">
      <c r="BU6452" s="8"/>
      <c r="BZ6452" s="8"/>
      <c r="CD6452" s="8"/>
    </row>
    <row r="6453" spans="73:82" ht="15.75">
      <c r="BU6453" s="8"/>
      <c r="BZ6453" s="8"/>
      <c r="CD6453" s="8"/>
    </row>
    <row r="6454" spans="73:82" ht="15.75">
      <c r="BU6454" s="8"/>
      <c r="BZ6454" s="8"/>
      <c r="CD6454" s="8"/>
    </row>
    <row r="6455" spans="73:82" ht="15.75">
      <c r="BU6455" s="8"/>
      <c r="BZ6455" s="8"/>
      <c r="CD6455" s="8"/>
    </row>
    <row r="6456" spans="73:82" ht="15.75">
      <c r="BU6456" s="8"/>
      <c r="BZ6456" s="8"/>
      <c r="CD6456" s="8"/>
    </row>
    <row r="6457" spans="73:82" ht="15.75">
      <c r="BU6457" s="8"/>
      <c r="BZ6457" s="8"/>
      <c r="CD6457" s="8"/>
    </row>
    <row r="6458" spans="73:82" ht="15.75">
      <c r="BU6458" s="8"/>
      <c r="BZ6458" s="8"/>
      <c r="CD6458" s="8"/>
    </row>
    <row r="6459" spans="73:82" ht="15.75">
      <c r="BU6459" s="8"/>
      <c r="BZ6459" s="8"/>
      <c r="CD6459" s="8"/>
    </row>
    <row r="6460" spans="73:82" ht="15.75">
      <c r="BU6460" s="8"/>
      <c r="BZ6460" s="8"/>
      <c r="CD6460" s="8"/>
    </row>
    <row r="6461" spans="73:82" ht="15.75">
      <c r="BU6461" s="8"/>
      <c r="BZ6461" s="8"/>
      <c r="CD6461" s="8"/>
    </row>
    <row r="6462" spans="73:82" ht="15.75">
      <c r="BU6462" s="8"/>
      <c r="BZ6462" s="8"/>
      <c r="CD6462" s="8"/>
    </row>
    <row r="6463" spans="73:82" ht="15.75">
      <c r="BU6463" s="8"/>
      <c r="BZ6463" s="8"/>
      <c r="CD6463" s="8"/>
    </row>
    <row r="6464" spans="73:82" ht="15.75">
      <c r="BU6464" s="8"/>
      <c r="BZ6464" s="8"/>
      <c r="CD6464" s="8"/>
    </row>
    <row r="6465" spans="73:82" ht="15.75">
      <c r="BU6465" s="8"/>
      <c r="BZ6465" s="8"/>
      <c r="CD6465" s="8"/>
    </row>
    <row r="6466" spans="73:82" ht="15.75">
      <c r="BU6466" s="8"/>
      <c r="BZ6466" s="8"/>
      <c r="CD6466" s="8"/>
    </row>
    <row r="6467" spans="73:82" ht="15.75">
      <c r="BU6467" s="8"/>
      <c r="BZ6467" s="8"/>
      <c r="CD6467" s="8"/>
    </row>
    <row r="6468" spans="73:82" ht="15.75">
      <c r="BU6468" s="8"/>
      <c r="BZ6468" s="8"/>
      <c r="CD6468" s="8"/>
    </row>
    <row r="6469" spans="73:82" ht="15.75">
      <c r="BU6469" s="8"/>
      <c r="BZ6469" s="8"/>
      <c r="CD6469" s="8"/>
    </row>
    <row r="6470" spans="73:82" ht="15.75">
      <c r="BU6470" s="8"/>
      <c r="BZ6470" s="8"/>
      <c r="CD6470" s="8"/>
    </row>
    <row r="6471" spans="73:82" ht="15.75">
      <c r="BU6471" s="8"/>
      <c r="BZ6471" s="8"/>
      <c r="CD6471" s="8"/>
    </row>
    <row r="6472" spans="73:82" ht="15.75">
      <c r="BU6472" s="8"/>
      <c r="BZ6472" s="8"/>
      <c r="CD6472" s="8"/>
    </row>
    <row r="6473" spans="73:82" ht="15.75">
      <c r="BU6473" s="8"/>
      <c r="BZ6473" s="8"/>
      <c r="CD6473" s="8"/>
    </row>
    <row r="6474" spans="73:82" ht="15.75">
      <c r="BU6474" s="8"/>
      <c r="BZ6474" s="8"/>
      <c r="CD6474" s="8"/>
    </row>
    <row r="6475" spans="73:82" ht="15.75">
      <c r="BU6475" s="8"/>
      <c r="BZ6475" s="8"/>
      <c r="CD6475" s="8"/>
    </row>
    <row r="6476" spans="73:82" ht="15.75">
      <c r="BU6476" s="8"/>
      <c r="BZ6476" s="8"/>
      <c r="CD6476" s="8"/>
    </row>
    <row r="6477" spans="73:82" ht="15.75">
      <c r="BU6477" s="8"/>
      <c r="BZ6477" s="8"/>
      <c r="CD6477" s="8"/>
    </row>
    <row r="6478" spans="73:82" ht="15.75">
      <c r="BU6478" s="8"/>
      <c r="BZ6478" s="8"/>
      <c r="CD6478" s="8"/>
    </row>
    <row r="6479" spans="73:82" ht="15.75">
      <c r="BU6479" s="8"/>
      <c r="BZ6479" s="8"/>
      <c r="CD6479" s="8"/>
    </row>
    <row r="6480" spans="73:82" ht="15.75">
      <c r="BU6480" s="8"/>
      <c r="BZ6480" s="8"/>
      <c r="CD6480" s="8"/>
    </row>
    <row r="6481" spans="73:82" ht="15.75">
      <c r="BU6481" s="8"/>
      <c r="BZ6481" s="8"/>
      <c r="CD6481" s="8"/>
    </row>
    <row r="6482" spans="73:82" ht="15.75">
      <c r="BU6482" s="8"/>
      <c r="BZ6482" s="8"/>
      <c r="CD6482" s="8"/>
    </row>
    <row r="6483" spans="73:82" ht="15.75">
      <c r="BU6483" s="8"/>
      <c r="BZ6483" s="8"/>
      <c r="CD6483" s="8"/>
    </row>
    <row r="6484" spans="73:82" ht="15.75">
      <c r="BU6484" s="8"/>
      <c r="BZ6484" s="8"/>
      <c r="CD6484" s="8"/>
    </row>
    <row r="6485" spans="73:82" ht="15.75">
      <c r="BU6485" s="8"/>
      <c r="BZ6485" s="8"/>
      <c r="CD6485" s="8"/>
    </row>
    <row r="6486" spans="73:82" ht="15.75">
      <c r="BU6486" s="8"/>
      <c r="BZ6486" s="8"/>
      <c r="CD6486" s="8"/>
    </row>
    <row r="6487" spans="73:82" ht="15.75">
      <c r="BU6487" s="8"/>
      <c r="BZ6487" s="8"/>
      <c r="CD6487" s="8"/>
    </row>
    <row r="6488" spans="73:82" ht="15.75">
      <c r="BU6488" s="8"/>
      <c r="BZ6488" s="8"/>
      <c r="CD6488" s="8"/>
    </row>
    <row r="6489" spans="73:82" ht="15.75">
      <c r="BU6489" s="8"/>
      <c r="BZ6489" s="8"/>
      <c r="CD6489" s="8"/>
    </row>
    <row r="6490" spans="73:82" ht="15.75">
      <c r="BU6490" s="8"/>
      <c r="BZ6490" s="8"/>
      <c r="CD6490" s="8"/>
    </row>
    <row r="6491" spans="73:82" ht="15.75">
      <c r="BU6491" s="8"/>
      <c r="BZ6491" s="8"/>
      <c r="CD6491" s="8"/>
    </row>
    <row r="6492" spans="73:82" ht="15.75">
      <c r="BU6492" s="8"/>
      <c r="BZ6492" s="8"/>
      <c r="CD6492" s="8"/>
    </row>
    <row r="6493" spans="73:82" ht="15.75">
      <c r="BU6493" s="8"/>
      <c r="BZ6493" s="8"/>
      <c r="CD6493" s="8"/>
    </row>
    <row r="6494" spans="73:82" ht="15.75">
      <c r="BU6494" s="8"/>
      <c r="BZ6494" s="8"/>
      <c r="CD6494" s="8"/>
    </row>
    <row r="6495" spans="73:82" ht="15.75">
      <c r="BU6495" s="8"/>
      <c r="BZ6495" s="8"/>
      <c r="CD6495" s="8"/>
    </row>
    <row r="6496" spans="73:82" ht="15.75">
      <c r="BU6496" s="8"/>
      <c r="BZ6496" s="8"/>
      <c r="CD6496" s="8"/>
    </row>
    <row r="6497" spans="73:82" ht="15.75">
      <c r="BU6497" s="8"/>
      <c r="BZ6497" s="8"/>
      <c r="CD6497" s="8"/>
    </row>
    <row r="6498" spans="73:82" ht="15.75">
      <c r="BU6498" s="8"/>
      <c r="BZ6498" s="8"/>
      <c r="CD6498" s="8"/>
    </row>
    <row r="6499" spans="73:82" ht="15.75">
      <c r="BU6499" s="8"/>
      <c r="BZ6499" s="8"/>
      <c r="CD6499" s="8"/>
    </row>
    <row r="6500" spans="73:82" ht="15.75">
      <c r="BU6500" s="8"/>
      <c r="BZ6500" s="8"/>
      <c r="CD6500" s="8"/>
    </row>
    <row r="6501" spans="73:82" ht="15.75">
      <c r="BU6501" s="8"/>
      <c r="BZ6501" s="8"/>
      <c r="CD6501" s="8"/>
    </row>
    <row r="6502" spans="73:82" ht="15.75">
      <c r="BU6502" s="8"/>
      <c r="BZ6502" s="8"/>
      <c r="CD6502" s="8"/>
    </row>
    <row r="6503" spans="73:82" ht="15.75">
      <c r="BU6503" s="8"/>
      <c r="BZ6503" s="8"/>
      <c r="CD6503" s="8"/>
    </row>
    <row r="6504" spans="73:82" ht="15.75">
      <c r="BU6504" s="8"/>
      <c r="BZ6504" s="8"/>
      <c r="CD6504" s="8"/>
    </row>
    <row r="6505" spans="73:82" ht="15.75">
      <c r="BU6505" s="8"/>
      <c r="BZ6505" s="8"/>
      <c r="CD6505" s="8"/>
    </row>
    <row r="6506" spans="73:82" ht="15.75">
      <c r="BU6506" s="8"/>
      <c r="BZ6506" s="8"/>
      <c r="CD6506" s="8"/>
    </row>
    <row r="6507" spans="73:82" ht="15.75">
      <c r="BU6507" s="8"/>
      <c r="BZ6507" s="8"/>
      <c r="CD6507" s="8"/>
    </row>
    <row r="6508" spans="73:82" ht="15.75">
      <c r="BU6508" s="8"/>
      <c r="BZ6508" s="8"/>
      <c r="CD6508" s="8"/>
    </row>
    <row r="6509" spans="73:82" ht="15.75">
      <c r="BU6509" s="8"/>
      <c r="BZ6509" s="8"/>
      <c r="CD6509" s="8"/>
    </row>
    <row r="6510" spans="73:82" ht="15.75">
      <c r="BU6510" s="8"/>
      <c r="BZ6510" s="8"/>
      <c r="CD6510" s="8"/>
    </row>
    <row r="6511" spans="73:82" ht="15.75">
      <c r="BU6511" s="8"/>
      <c r="BZ6511" s="8"/>
      <c r="CD6511" s="8"/>
    </row>
    <row r="6512" spans="73:82" ht="15.75">
      <c r="BU6512" s="8"/>
      <c r="BZ6512" s="8"/>
      <c r="CD6512" s="8"/>
    </row>
    <row r="6513" spans="73:82" ht="15.75">
      <c r="BU6513" s="8"/>
      <c r="BZ6513" s="8"/>
      <c r="CD6513" s="8"/>
    </row>
    <row r="6514" spans="73:82" ht="15.75">
      <c r="BU6514" s="8"/>
      <c r="BZ6514" s="8"/>
      <c r="CD6514" s="8"/>
    </row>
    <row r="6515" spans="73:82" ht="15.75">
      <c r="BU6515" s="8"/>
      <c r="BZ6515" s="8"/>
      <c r="CD6515" s="8"/>
    </row>
    <row r="6516" spans="73:82" ht="15.75">
      <c r="BU6516" s="8"/>
      <c r="BZ6516" s="8"/>
      <c r="CD6516" s="8"/>
    </row>
    <row r="6517" spans="73:82" ht="15.75">
      <c r="BU6517" s="8"/>
      <c r="BZ6517" s="8"/>
      <c r="CD6517" s="8"/>
    </row>
    <row r="6518" spans="73:82" ht="15.75">
      <c r="BU6518" s="8"/>
      <c r="BZ6518" s="8"/>
      <c r="CD6518" s="8"/>
    </row>
    <row r="6519" spans="73:82" ht="15.75">
      <c r="BU6519" s="8"/>
      <c r="BZ6519" s="8"/>
      <c r="CD6519" s="8"/>
    </row>
    <row r="6520" spans="73:82" ht="15.75">
      <c r="BU6520" s="8"/>
      <c r="BZ6520" s="8"/>
      <c r="CD6520" s="8"/>
    </row>
    <row r="6521" spans="73:82" ht="15.75">
      <c r="BU6521" s="8"/>
      <c r="BZ6521" s="8"/>
      <c r="CD6521" s="8"/>
    </row>
    <row r="6522" spans="73:82" ht="15.75">
      <c r="BU6522" s="8"/>
      <c r="BZ6522" s="8"/>
      <c r="CD6522" s="8"/>
    </row>
    <row r="6523" spans="73:82" ht="15.75">
      <c r="BU6523" s="8"/>
      <c r="BZ6523" s="8"/>
      <c r="CD6523" s="8"/>
    </row>
    <row r="6524" spans="73:82" ht="15.75">
      <c r="BU6524" s="8"/>
      <c r="BZ6524" s="8"/>
      <c r="CD6524" s="8"/>
    </row>
    <row r="6525" spans="73:82" ht="15.75">
      <c r="BU6525" s="8"/>
      <c r="BZ6525" s="8"/>
      <c r="CD6525" s="8"/>
    </row>
    <row r="6526" spans="73:82" ht="15.75">
      <c r="BU6526" s="8"/>
      <c r="BZ6526" s="8"/>
      <c r="CD6526" s="8"/>
    </row>
    <row r="6527" spans="73:82" ht="15.75">
      <c r="BU6527" s="8"/>
      <c r="BZ6527" s="8"/>
      <c r="CD6527" s="8"/>
    </row>
    <row r="6528" spans="73:82" ht="15.75">
      <c r="BU6528" s="8"/>
      <c r="BZ6528" s="8"/>
      <c r="CD6528" s="8"/>
    </row>
    <row r="6529" spans="73:82" ht="15.75">
      <c r="BU6529" s="8"/>
      <c r="BZ6529" s="8"/>
      <c r="CD6529" s="8"/>
    </row>
    <row r="6530" spans="73:82" ht="15.75">
      <c r="BU6530" s="8"/>
      <c r="BZ6530" s="8"/>
      <c r="CD6530" s="8"/>
    </row>
    <row r="6531" spans="73:82" ht="15.75">
      <c r="BU6531" s="8"/>
      <c r="BZ6531" s="8"/>
      <c r="CD6531" s="8"/>
    </row>
    <row r="6532" spans="73:82" ht="15.75">
      <c r="BU6532" s="8"/>
      <c r="BZ6532" s="8"/>
      <c r="CD6532" s="8"/>
    </row>
    <row r="6533" spans="73:82" ht="15.75">
      <c r="BU6533" s="8"/>
      <c r="BZ6533" s="8"/>
      <c r="CD6533" s="8"/>
    </row>
    <row r="6534" spans="73:82" ht="15.75">
      <c r="BU6534" s="8"/>
      <c r="BZ6534" s="8"/>
      <c r="CD6534" s="8"/>
    </row>
    <row r="6535" spans="73:82" ht="15.75">
      <c r="BU6535" s="8"/>
      <c r="BZ6535" s="8"/>
      <c r="CD6535" s="8"/>
    </row>
    <row r="6536" spans="73:82" ht="15.75">
      <c r="BU6536" s="8"/>
      <c r="BZ6536" s="8"/>
      <c r="CD6536" s="8"/>
    </row>
    <row r="6537" spans="73:82" ht="15.75">
      <c r="BU6537" s="8"/>
      <c r="BZ6537" s="8"/>
      <c r="CD6537" s="8"/>
    </row>
    <row r="6538" spans="73:82" ht="15.75">
      <c r="BU6538" s="8"/>
      <c r="BZ6538" s="8"/>
      <c r="CD6538" s="8"/>
    </row>
    <row r="6539" spans="73:82" ht="15.75">
      <c r="BU6539" s="8"/>
      <c r="BZ6539" s="8"/>
      <c r="CD6539" s="8"/>
    </row>
    <row r="6540" spans="73:82" ht="15.75">
      <c r="BU6540" s="8"/>
      <c r="BZ6540" s="8"/>
      <c r="CD6540" s="8"/>
    </row>
    <row r="6541" spans="73:82" ht="15.75">
      <c r="BU6541" s="8"/>
      <c r="BZ6541" s="8"/>
      <c r="CD6541" s="8"/>
    </row>
    <row r="6542" spans="73:82" ht="15.75">
      <c r="BU6542" s="8"/>
      <c r="BZ6542" s="8"/>
      <c r="CD6542" s="8"/>
    </row>
    <row r="6543" spans="73:82" ht="15.75">
      <c r="BU6543" s="8"/>
      <c r="BZ6543" s="8"/>
      <c r="CD6543" s="8"/>
    </row>
    <row r="6544" spans="73:82" ht="15.75">
      <c r="BU6544" s="8"/>
      <c r="BZ6544" s="8"/>
      <c r="CD6544" s="8"/>
    </row>
    <row r="6545" spans="73:82" ht="15.75">
      <c r="BU6545" s="8"/>
      <c r="BZ6545" s="8"/>
      <c r="CD6545" s="8"/>
    </row>
    <row r="6546" spans="73:82" ht="15.75">
      <c r="BU6546" s="8"/>
      <c r="BZ6546" s="8"/>
      <c r="CD6546" s="8"/>
    </row>
    <row r="6547" spans="73:82" ht="15.75">
      <c r="BU6547" s="8"/>
      <c r="BZ6547" s="8"/>
      <c r="CD6547" s="8"/>
    </row>
    <row r="6548" spans="73:82" ht="15.75">
      <c r="BU6548" s="8"/>
      <c r="BZ6548" s="8"/>
      <c r="CD6548" s="8"/>
    </row>
    <row r="6549" spans="73:82" ht="15.75">
      <c r="BU6549" s="8"/>
      <c r="BZ6549" s="8"/>
      <c r="CD6549" s="8"/>
    </row>
    <row r="6550" spans="73:82" ht="15.75">
      <c r="BU6550" s="8"/>
      <c r="BZ6550" s="8"/>
      <c r="CD6550" s="8"/>
    </row>
    <row r="6551" spans="73:82" ht="15.75">
      <c r="BU6551" s="8"/>
      <c r="BZ6551" s="8"/>
      <c r="CD6551" s="8"/>
    </row>
    <row r="6552" spans="73:82" ht="15.75">
      <c r="BU6552" s="8"/>
      <c r="BZ6552" s="8"/>
      <c r="CD6552" s="8"/>
    </row>
    <row r="6553" spans="73:82" ht="15.75">
      <c r="BU6553" s="8"/>
      <c r="BZ6553" s="8"/>
      <c r="CD6553" s="8"/>
    </row>
    <row r="6554" spans="73:82" ht="15.75">
      <c r="BU6554" s="8"/>
      <c r="BZ6554" s="8"/>
      <c r="CD6554" s="8"/>
    </row>
    <row r="6555" spans="73:82" ht="15.75">
      <c r="BU6555" s="8"/>
      <c r="BZ6555" s="8"/>
      <c r="CD6555" s="8"/>
    </row>
    <row r="6556" spans="73:82" ht="15.75">
      <c r="BU6556" s="8"/>
      <c r="BZ6556" s="8"/>
      <c r="CD6556" s="8"/>
    </row>
    <row r="6557" spans="73:82" ht="15.75">
      <c r="BU6557" s="8"/>
      <c r="BZ6557" s="8"/>
      <c r="CD6557" s="8"/>
    </row>
    <row r="6558" spans="73:82" ht="15.75">
      <c r="BU6558" s="8"/>
      <c r="BZ6558" s="8"/>
      <c r="CD6558" s="8"/>
    </row>
    <row r="6559" spans="73:82" ht="15.75">
      <c r="BU6559" s="8"/>
      <c r="BZ6559" s="8"/>
      <c r="CD6559" s="8"/>
    </row>
    <row r="6560" spans="73:82" ht="15.75">
      <c r="BU6560" s="8"/>
      <c r="BZ6560" s="8"/>
      <c r="CD6560" s="8"/>
    </row>
    <row r="6561" spans="73:82" ht="15.75">
      <c r="BU6561" s="8"/>
      <c r="BZ6561" s="8"/>
      <c r="CD6561" s="8"/>
    </row>
    <row r="6562" spans="73:82" ht="15.75">
      <c r="BU6562" s="8"/>
      <c r="BZ6562" s="8"/>
      <c r="CD6562" s="8"/>
    </row>
    <row r="6563" spans="73:82" ht="15.75">
      <c r="BU6563" s="8"/>
      <c r="BZ6563" s="8"/>
      <c r="CD6563" s="8"/>
    </row>
    <row r="6564" spans="73:82" ht="15.75">
      <c r="BU6564" s="8"/>
      <c r="BZ6564" s="8"/>
      <c r="CD6564" s="8"/>
    </row>
    <row r="6565" spans="73:82" ht="15.75">
      <c r="BU6565" s="8"/>
      <c r="BZ6565" s="8"/>
      <c r="CD6565" s="8"/>
    </row>
    <row r="6566" spans="73:82" ht="15.75">
      <c r="BU6566" s="8"/>
      <c r="BZ6566" s="8"/>
      <c r="CD6566" s="8"/>
    </row>
    <row r="6567" spans="73:82" ht="15.75">
      <c r="BU6567" s="8"/>
      <c r="BZ6567" s="8"/>
      <c r="CD6567" s="8"/>
    </row>
    <row r="6568" spans="73:82" ht="15.75">
      <c r="BU6568" s="8"/>
      <c r="BZ6568" s="8"/>
      <c r="CD6568" s="8"/>
    </row>
    <row r="6569" spans="73:82" ht="15.75">
      <c r="BU6569" s="8"/>
      <c r="BZ6569" s="8"/>
      <c r="CD6569" s="8"/>
    </row>
    <row r="6570" spans="73:82" ht="15.75">
      <c r="BU6570" s="8"/>
      <c r="BZ6570" s="8"/>
      <c r="CD6570" s="8"/>
    </row>
    <row r="6571" spans="73:82" ht="15.75">
      <c r="BU6571" s="8"/>
      <c r="BZ6571" s="8"/>
      <c r="CD6571" s="8"/>
    </row>
    <row r="6572" spans="73:82" ht="15.75">
      <c r="BU6572" s="8"/>
      <c r="BZ6572" s="8"/>
      <c r="CD6572" s="8"/>
    </row>
    <row r="6573" spans="73:82" ht="15.75">
      <c r="BU6573" s="8"/>
      <c r="BZ6573" s="8"/>
      <c r="CD6573" s="8"/>
    </row>
    <row r="6574" spans="73:82" ht="15.75">
      <c r="BU6574" s="8"/>
      <c r="BZ6574" s="8"/>
      <c r="CD6574" s="8"/>
    </row>
    <row r="6575" spans="73:82" ht="15.75">
      <c r="BU6575" s="8"/>
      <c r="BZ6575" s="8"/>
      <c r="CD6575" s="8"/>
    </row>
    <row r="6576" spans="73:82" ht="15.75">
      <c r="BU6576" s="8"/>
      <c r="BZ6576" s="8"/>
      <c r="CD6576" s="8"/>
    </row>
    <row r="6577" spans="73:82" ht="15.75">
      <c r="BU6577" s="8"/>
      <c r="BZ6577" s="8"/>
      <c r="CD6577" s="8"/>
    </row>
    <row r="6578" spans="73:82" ht="15.75">
      <c r="BU6578" s="8"/>
      <c r="BZ6578" s="8"/>
      <c r="CD6578" s="8"/>
    </row>
    <row r="6579" spans="73:82" ht="15.75">
      <c r="BU6579" s="8"/>
      <c r="BZ6579" s="8"/>
      <c r="CD6579" s="8"/>
    </row>
    <row r="6580" spans="73:82" ht="15.75">
      <c r="BU6580" s="8"/>
      <c r="BZ6580" s="8"/>
      <c r="CD6580" s="8"/>
    </row>
    <row r="6581" spans="73:82" ht="15.75">
      <c r="BU6581" s="8"/>
      <c r="BZ6581" s="8"/>
      <c r="CD6581" s="8"/>
    </row>
    <row r="6582" spans="73:82" ht="15.75">
      <c r="BU6582" s="8"/>
      <c r="BZ6582" s="8"/>
      <c r="CD6582" s="8"/>
    </row>
    <row r="6583" spans="73:82" ht="15.75">
      <c r="BU6583" s="8"/>
      <c r="BZ6583" s="8"/>
      <c r="CD6583" s="8"/>
    </row>
    <row r="6584" spans="73:82" ht="15.75">
      <c r="BU6584" s="8"/>
      <c r="BZ6584" s="8"/>
      <c r="CD6584" s="8"/>
    </row>
    <row r="6585" spans="73:82" ht="15.75">
      <c r="BU6585" s="8"/>
      <c r="BZ6585" s="8"/>
      <c r="CD6585" s="8"/>
    </row>
    <row r="6586" spans="73:82" ht="15.75">
      <c r="BU6586" s="8"/>
      <c r="BZ6586" s="8"/>
      <c r="CD6586" s="8"/>
    </row>
    <row r="6587" spans="73:82" ht="15.75">
      <c r="BU6587" s="8"/>
      <c r="BZ6587" s="8"/>
      <c r="CD6587" s="8"/>
    </row>
    <row r="6588" spans="73:82" ht="15.75">
      <c r="BU6588" s="8"/>
      <c r="BZ6588" s="8"/>
      <c r="CD6588" s="8"/>
    </row>
    <row r="6589" spans="73:82" ht="15.75">
      <c r="BU6589" s="8"/>
      <c r="BZ6589" s="8"/>
      <c r="CD6589" s="8"/>
    </row>
    <row r="6590" spans="73:82" ht="15.75">
      <c r="BU6590" s="8"/>
      <c r="BZ6590" s="8"/>
      <c r="CD6590" s="8"/>
    </row>
    <row r="6591" spans="73:82" ht="15.75">
      <c r="BU6591" s="8"/>
      <c r="BZ6591" s="8"/>
      <c r="CD6591" s="8"/>
    </row>
    <row r="6592" spans="73:82" ht="15.75">
      <c r="BU6592" s="8"/>
      <c r="BZ6592" s="8"/>
      <c r="CD6592" s="8"/>
    </row>
    <row r="6593" spans="73:82" ht="15.75">
      <c r="BU6593" s="8"/>
      <c r="BZ6593" s="8"/>
      <c r="CD6593" s="8"/>
    </row>
    <row r="6594" spans="73:82" ht="15.75">
      <c r="BU6594" s="8"/>
      <c r="BZ6594" s="8"/>
      <c r="CD6594" s="8"/>
    </row>
    <row r="6595" spans="73:82" ht="15.75">
      <c r="BU6595" s="8"/>
      <c r="BZ6595" s="8"/>
      <c r="CD6595" s="8"/>
    </row>
    <row r="6596" spans="73:82" ht="15.75">
      <c r="BU6596" s="8"/>
      <c r="BZ6596" s="8"/>
      <c r="CD6596" s="8"/>
    </row>
    <row r="6597" spans="73:82" ht="15.75">
      <c r="BU6597" s="8"/>
      <c r="BZ6597" s="8"/>
      <c r="CD6597" s="8"/>
    </row>
    <row r="6598" spans="73:82" ht="15.75">
      <c r="BU6598" s="8"/>
      <c r="BZ6598" s="8"/>
      <c r="CD6598" s="8"/>
    </row>
    <row r="6599" spans="73:82" ht="15.75">
      <c r="BU6599" s="8"/>
      <c r="BZ6599" s="8"/>
      <c r="CD6599" s="8"/>
    </row>
    <row r="6600" spans="73:82" ht="15.75">
      <c r="BU6600" s="8"/>
      <c r="BZ6600" s="8"/>
      <c r="CD6600" s="8"/>
    </row>
    <row r="6601" spans="73:82" ht="15.75">
      <c r="BU6601" s="8"/>
      <c r="BZ6601" s="8"/>
      <c r="CD6601" s="8"/>
    </row>
    <row r="6602" spans="73:82" ht="15.75">
      <c r="BU6602" s="8"/>
      <c r="BZ6602" s="8"/>
      <c r="CD6602" s="8"/>
    </row>
    <row r="6603" spans="73:82" ht="15.75">
      <c r="BU6603" s="8"/>
      <c r="BZ6603" s="8"/>
      <c r="CD6603" s="8"/>
    </row>
    <row r="6604" spans="73:82" ht="15.75">
      <c r="BU6604" s="8"/>
      <c r="BZ6604" s="8"/>
      <c r="CD6604" s="8"/>
    </row>
    <row r="6605" spans="73:82" ht="15.75">
      <c r="BU6605" s="8"/>
      <c r="BZ6605" s="8"/>
      <c r="CD6605" s="8"/>
    </row>
    <row r="6606" spans="73:82" ht="15.75">
      <c r="BU6606" s="8"/>
      <c r="BZ6606" s="8"/>
      <c r="CD6606" s="8"/>
    </row>
    <row r="6607" spans="73:82" ht="15.75">
      <c r="BU6607" s="8"/>
      <c r="BZ6607" s="8"/>
      <c r="CD6607" s="8"/>
    </row>
    <row r="6608" spans="73:82" ht="15.75">
      <c r="BU6608" s="8"/>
      <c r="BZ6608" s="8"/>
      <c r="CD6608" s="8"/>
    </row>
    <row r="6609" spans="73:82" ht="15.75">
      <c r="BU6609" s="8"/>
      <c r="BZ6609" s="8"/>
      <c r="CD6609" s="8"/>
    </row>
    <row r="6610" spans="73:82" ht="15.75">
      <c r="BU6610" s="8"/>
      <c r="BZ6610" s="8"/>
      <c r="CD6610" s="8"/>
    </row>
    <row r="6611" spans="73:82" ht="15.75">
      <c r="BU6611" s="8"/>
      <c r="BZ6611" s="8"/>
      <c r="CD6611" s="8"/>
    </row>
    <row r="6612" spans="73:82" ht="15.75">
      <c r="BU6612" s="8"/>
      <c r="BZ6612" s="8"/>
      <c r="CD6612" s="8"/>
    </row>
    <row r="6613" spans="73:82" ht="15.75">
      <c r="BU6613" s="8"/>
      <c r="BZ6613" s="8"/>
      <c r="CD6613" s="8"/>
    </row>
    <row r="6614" spans="73:82" ht="15.75">
      <c r="BU6614" s="8"/>
      <c r="BZ6614" s="8"/>
      <c r="CD6614" s="8"/>
    </row>
    <row r="6615" spans="73:82" ht="15.75">
      <c r="BU6615" s="8"/>
      <c r="BZ6615" s="8"/>
      <c r="CD6615" s="8"/>
    </row>
    <row r="6616" spans="73:82" ht="15.75">
      <c r="BU6616" s="8"/>
      <c r="BZ6616" s="8"/>
      <c r="CD6616" s="8"/>
    </row>
    <row r="6617" spans="73:82" ht="15.75">
      <c r="BU6617" s="8"/>
      <c r="BZ6617" s="8"/>
      <c r="CD6617" s="8"/>
    </row>
    <row r="6618" spans="73:82" ht="15.75">
      <c r="BU6618" s="8"/>
      <c r="BZ6618" s="8"/>
      <c r="CD6618" s="8"/>
    </row>
    <row r="6619" spans="73:82" ht="15.75">
      <c r="BU6619" s="8"/>
      <c r="BZ6619" s="8"/>
      <c r="CD6619" s="8"/>
    </row>
    <row r="6620" spans="73:82" ht="15.75">
      <c r="BU6620" s="8"/>
      <c r="BZ6620" s="8"/>
      <c r="CD6620" s="8"/>
    </row>
    <row r="6621" spans="73:82" ht="15.75">
      <c r="BU6621" s="8"/>
      <c r="BZ6621" s="8"/>
      <c r="CD6621" s="8"/>
    </row>
    <row r="6622" spans="73:82" ht="15.75">
      <c r="BU6622" s="8"/>
      <c r="BZ6622" s="8"/>
      <c r="CD6622" s="8"/>
    </row>
    <row r="6623" spans="73:82" ht="15.75">
      <c r="BU6623" s="8"/>
      <c r="BZ6623" s="8"/>
      <c r="CD6623" s="8"/>
    </row>
    <row r="6624" spans="73:82" ht="15.75">
      <c r="BU6624" s="8"/>
      <c r="BZ6624" s="8"/>
      <c r="CD6624" s="8"/>
    </row>
    <row r="6625" spans="73:82" ht="15.75">
      <c r="BU6625" s="8"/>
      <c r="BZ6625" s="8"/>
      <c r="CD6625" s="8"/>
    </row>
    <row r="6626" spans="73:82" ht="15.75">
      <c r="BU6626" s="8"/>
      <c r="BZ6626" s="8"/>
      <c r="CD6626" s="8"/>
    </row>
    <row r="6627" spans="73:82" ht="15.75">
      <c r="BU6627" s="8"/>
      <c r="BZ6627" s="8"/>
      <c r="CD6627" s="8"/>
    </row>
    <row r="6628" spans="73:82" ht="15.75">
      <c r="BU6628" s="8"/>
      <c r="BZ6628" s="8"/>
      <c r="CD6628" s="8"/>
    </row>
    <row r="6629" spans="73:82" ht="15.75">
      <c r="BU6629" s="8"/>
      <c r="BZ6629" s="8"/>
      <c r="CD6629" s="8"/>
    </row>
    <row r="6630" spans="73:82" ht="15.75">
      <c r="BU6630" s="8"/>
      <c r="BZ6630" s="8"/>
      <c r="CD6630" s="8"/>
    </row>
    <row r="6631" spans="73:82" ht="15.75">
      <c r="BU6631" s="8"/>
      <c r="BZ6631" s="8"/>
      <c r="CD6631" s="8"/>
    </row>
    <row r="6632" spans="73:82" ht="15.75">
      <c r="BU6632" s="8"/>
      <c r="BZ6632" s="8"/>
      <c r="CD6632" s="8"/>
    </row>
    <row r="6633" spans="73:82" ht="15.75">
      <c r="BU6633" s="8"/>
      <c r="BZ6633" s="8"/>
      <c r="CD6633" s="8"/>
    </row>
    <row r="6634" spans="73:82" ht="15.75">
      <c r="BU6634" s="8"/>
      <c r="BZ6634" s="8"/>
      <c r="CD6634" s="8"/>
    </row>
    <row r="6635" spans="73:82" ht="15.75">
      <c r="BU6635" s="8"/>
      <c r="BZ6635" s="8"/>
      <c r="CD6635" s="8"/>
    </row>
    <row r="6636" spans="73:82" ht="15.75">
      <c r="BU6636" s="8"/>
      <c r="BZ6636" s="8"/>
      <c r="CD6636" s="8"/>
    </row>
    <row r="6637" spans="73:82" ht="15.75">
      <c r="BU6637" s="8"/>
      <c r="BZ6637" s="8"/>
      <c r="CD6637" s="8"/>
    </row>
    <row r="6638" spans="73:82" ht="15.75">
      <c r="BU6638" s="8"/>
      <c r="BZ6638" s="8"/>
      <c r="CD6638" s="8"/>
    </row>
    <row r="6639" spans="73:82" ht="15.75">
      <c r="BU6639" s="8"/>
      <c r="BZ6639" s="8"/>
      <c r="CD6639" s="8"/>
    </row>
    <row r="6640" spans="73:82" ht="15.75">
      <c r="BU6640" s="8"/>
      <c r="BZ6640" s="8"/>
      <c r="CD6640" s="8"/>
    </row>
    <row r="6641" spans="73:82" ht="15.75">
      <c r="BU6641" s="8"/>
      <c r="BZ6641" s="8"/>
      <c r="CD6641" s="8"/>
    </row>
    <row r="6642" spans="73:82" ht="15.75">
      <c r="BU6642" s="8"/>
      <c r="BZ6642" s="8"/>
      <c r="CD6642" s="8"/>
    </row>
    <row r="6643" spans="73:82" ht="15.75">
      <c r="BU6643" s="8"/>
      <c r="BZ6643" s="8"/>
      <c r="CD6643" s="8"/>
    </row>
    <row r="6644" spans="73:82" ht="15.75">
      <c r="BU6644" s="8"/>
      <c r="BZ6644" s="8"/>
      <c r="CD6644" s="8"/>
    </row>
    <row r="6645" spans="73:82" ht="15.75">
      <c r="BU6645" s="8"/>
      <c r="BZ6645" s="8"/>
      <c r="CD6645" s="8"/>
    </row>
    <row r="6646" spans="73:82" ht="15.75">
      <c r="BU6646" s="8"/>
      <c r="BZ6646" s="8"/>
      <c r="CD6646" s="8"/>
    </row>
    <row r="6647" spans="73:82" ht="15.75">
      <c r="BU6647" s="8"/>
      <c r="BZ6647" s="8"/>
      <c r="CD6647" s="8"/>
    </row>
    <row r="6648" spans="73:82" ht="15.75">
      <c r="BU6648" s="8"/>
      <c r="BZ6648" s="8"/>
      <c r="CD6648" s="8"/>
    </row>
    <row r="6649" spans="73:82" ht="15.75">
      <c r="BU6649" s="8"/>
      <c r="BZ6649" s="8"/>
      <c r="CD6649" s="8"/>
    </row>
    <row r="6650" spans="73:82" ht="15.75">
      <c r="BU6650" s="8"/>
      <c r="BZ6650" s="8"/>
      <c r="CD6650" s="8"/>
    </row>
    <row r="6651" spans="73:82" ht="15.75">
      <c r="BU6651" s="8"/>
      <c r="BZ6651" s="8"/>
      <c r="CD6651" s="8"/>
    </row>
    <row r="6652" spans="73:82" ht="15.75">
      <c r="BU6652" s="8"/>
      <c r="BZ6652" s="8"/>
      <c r="CD6652" s="8"/>
    </row>
    <row r="6653" spans="73:82" ht="15.75">
      <c r="BU6653" s="8"/>
      <c r="BZ6653" s="8"/>
      <c r="CD6653" s="8"/>
    </row>
    <row r="6654" spans="73:82" ht="15.75">
      <c r="BU6654" s="8"/>
      <c r="BZ6654" s="8"/>
      <c r="CD6654" s="8"/>
    </row>
    <row r="6655" spans="73:82" ht="15.75">
      <c r="BU6655" s="8"/>
      <c r="BZ6655" s="8"/>
      <c r="CD6655" s="8"/>
    </row>
    <row r="6656" spans="73:82" ht="15.75">
      <c r="BU6656" s="8"/>
      <c r="BZ6656" s="8"/>
      <c r="CD6656" s="8"/>
    </row>
    <row r="6657" spans="73:82" ht="15.75">
      <c r="BU6657" s="8"/>
      <c r="BZ6657" s="8"/>
      <c r="CD6657" s="8"/>
    </row>
    <row r="6658" spans="73:82" ht="15.75">
      <c r="BU6658" s="8"/>
      <c r="BZ6658" s="8"/>
      <c r="CD6658" s="8"/>
    </row>
    <row r="6659" spans="73:82" ht="15.75">
      <c r="BU6659" s="8"/>
      <c r="BZ6659" s="8"/>
      <c r="CD6659" s="8"/>
    </row>
    <row r="6660" spans="73:82" ht="15.75">
      <c r="BU6660" s="8"/>
      <c r="BZ6660" s="8"/>
      <c r="CD6660" s="8"/>
    </row>
    <row r="6661" spans="73:82" ht="15.75">
      <c r="BU6661" s="8"/>
      <c r="BZ6661" s="8"/>
      <c r="CD6661" s="8"/>
    </row>
    <row r="6662" spans="73:82" ht="15.75">
      <c r="BU6662" s="8"/>
      <c r="BZ6662" s="8"/>
      <c r="CD6662" s="8"/>
    </row>
    <row r="6663" spans="73:82" ht="15.75">
      <c r="BU6663" s="8"/>
      <c r="BZ6663" s="8"/>
      <c r="CD6663" s="8"/>
    </row>
    <row r="6664" spans="73:82" ht="15.75">
      <c r="BU6664" s="8"/>
      <c r="BZ6664" s="8"/>
      <c r="CD6664" s="8"/>
    </row>
    <row r="6665" spans="73:82" ht="15.75">
      <c r="BU6665" s="8"/>
      <c r="BZ6665" s="8"/>
      <c r="CD6665" s="8"/>
    </row>
    <row r="6666" spans="73:82" ht="15.75">
      <c r="BU6666" s="8"/>
      <c r="BZ6666" s="8"/>
      <c r="CD6666" s="8"/>
    </row>
    <row r="6667" spans="73:82" ht="15.75">
      <c r="BU6667" s="8"/>
      <c r="BZ6667" s="8"/>
      <c r="CD6667" s="8"/>
    </row>
    <row r="6668" spans="73:82" ht="15.75">
      <c r="BU6668" s="8"/>
      <c r="BZ6668" s="8"/>
      <c r="CD6668" s="8"/>
    </row>
    <row r="6669" spans="73:82" ht="15.75">
      <c r="BU6669" s="8"/>
      <c r="BZ6669" s="8"/>
      <c r="CD6669" s="8"/>
    </row>
    <row r="6670" spans="73:82" ht="15.75">
      <c r="BU6670" s="8"/>
      <c r="BZ6670" s="8"/>
      <c r="CD6670" s="8"/>
    </row>
    <row r="6671" spans="73:82" ht="15.75">
      <c r="BU6671" s="8"/>
      <c r="BZ6671" s="8"/>
      <c r="CD6671" s="8"/>
    </row>
    <row r="6672" spans="73:82" ht="15.75">
      <c r="BU6672" s="8"/>
      <c r="BZ6672" s="8"/>
      <c r="CD6672" s="8"/>
    </row>
    <row r="6673" spans="73:82" ht="15.75">
      <c r="BU6673" s="8"/>
      <c r="BZ6673" s="8"/>
      <c r="CD6673" s="8"/>
    </row>
    <row r="6674" spans="73:82" ht="15.75">
      <c r="BU6674" s="8"/>
      <c r="BZ6674" s="8"/>
      <c r="CD6674" s="8"/>
    </row>
    <row r="6675" spans="73:82" ht="15.75">
      <c r="BU6675" s="8"/>
      <c r="BZ6675" s="8"/>
      <c r="CD6675" s="8"/>
    </row>
    <row r="6676" spans="73:82" ht="15.75">
      <c r="BU6676" s="8"/>
      <c r="BZ6676" s="8"/>
      <c r="CD6676" s="8"/>
    </row>
    <row r="6677" spans="73:82" ht="15.75">
      <c r="BU6677" s="8"/>
      <c r="BZ6677" s="8"/>
      <c r="CD6677" s="8"/>
    </row>
    <row r="6678" spans="73:82" ht="15.75">
      <c r="BU6678" s="8"/>
      <c r="BZ6678" s="8"/>
      <c r="CD6678" s="8"/>
    </row>
    <row r="6679" spans="73:82" ht="15.75">
      <c r="BU6679" s="8"/>
      <c r="BZ6679" s="8"/>
      <c r="CD6679" s="8"/>
    </row>
    <row r="6680" spans="73:82" ht="15.75">
      <c r="BU6680" s="8"/>
      <c r="BZ6680" s="8"/>
      <c r="CD6680" s="8"/>
    </row>
    <row r="6681" spans="73:82" ht="15.75">
      <c r="BU6681" s="8"/>
      <c r="BZ6681" s="8"/>
      <c r="CD6681" s="8"/>
    </row>
    <row r="6682" spans="73:82" ht="15.75">
      <c r="BU6682" s="8"/>
      <c r="BZ6682" s="8"/>
      <c r="CD6682" s="8"/>
    </row>
    <row r="6683" spans="73:82" ht="15.75">
      <c r="BU6683" s="8"/>
      <c r="BZ6683" s="8"/>
      <c r="CD6683" s="8"/>
    </row>
    <row r="6684" spans="73:82" ht="15.75">
      <c r="BU6684" s="8"/>
      <c r="BZ6684" s="8"/>
      <c r="CD6684" s="8"/>
    </row>
    <row r="6685" spans="73:82" ht="15.75">
      <c r="BU6685" s="8"/>
      <c r="BZ6685" s="8"/>
      <c r="CD6685" s="8"/>
    </row>
    <row r="6686" spans="73:82" ht="15.75">
      <c r="BU6686" s="8"/>
      <c r="BZ6686" s="8"/>
      <c r="CD6686" s="8"/>
    </row>
    <row r="6687" spans="73:82" ht="15.75">
      <c r="BU6687" s="8"/>
      <c r="BZ6687" s="8"/>
      <c r="CD6687" s="8"/>
    </row>
    <row r="6688" spans="73:82" ht="15.75">
      <c r="BU6688" s="8"/>
      <c r="BZ6688" s="8"/>
      <c r="CD6688" s="8"/>
    </row>
    <row r="6689" spans="73:82" ht="15.75">
      <c r="BU6689" s="8"/>
      <c r="BZ6689" s="8"/>
      <c r="CD6689" s="8"/>
    </row>
    <row r="6690" spans="73:82" ht="15.75">
      <c r="BU6690" s="8"/>
      <c r="BZ6690" s="8"/>
      <c r="CD6690" s="8"/>
    </row>
    <row r="6691" spans="73:82" ht="15.75">
      <c r="BU6691" s="8"/>
      <c r="BZ6691" s="8"/>
      <c r="CD6691" s="8"/>
    </row>
    <row r="6692" spans="73:82" ht="15.75">
      <c r="BU6692" s="8"/>
      <c r="BZ6692" s="8"/>
      <c r="CD6692" s="8"/>
    </row>
    <row r="6693" spans="73:82" ht="15.75">
      <c r="BU6693" s="8"/>
      <c r="BZ6693" s="8"/>
      <c r="CD6693" s="8"/>
    </row>
    <row r="6694" spans="73:82" ht="15.75">
      <c r="BU6694" s="8"/>
      <c r="BZ6694" s="8"/>
      <c r="CD6694" s="8"/>
    </row>
    <row r="6695" spans="73:82" ht="15.75">
      <c r="BU6695" s="8"/>
      <c r="BZ6695" s="8"/>
      <c r="CD6695" s="8"/>
    </row>
    <row r="6696" spans="73:82" ht="15.75">
      <c r="BU6696" s="8"/>
      <c r="BZ6696" s="8"/>
      <c r="CD6696" s="8"/>
    </row>
    <row r="6697" spans="73:82" ht="15.75">
      <c r="BU6697" s="8"/>
      <c r="BZ6697" s="8"/>
      <c r="CD6697" s="8"/>
    </row>
    <row r="6698" spans="73:82" ht="15.75">
      <c r="BU6698" s="8"/>
      <c r="BZ6698" s="8"/>
      <c r="CD6698" s="8"/>
    </row>
    <row r="6699" spans="73:82" ht="15.75">
      <c r="BU6699" s="8"/>
      <c r="BZ6699" s="8"/>
      <c r="CD6699" s="8"/>
    </row>
    <row r="6700" spans="73:82" ht="15.75">
      <c r="BU6700" s="8"/>
      <c r="BZ6700" s="8"/>
      <c r="CD6700" s="8"/>
    </row>
    <row r="6701" spans="73:82" ht="15.75">
      <c r="BU6701" s="8"/>
      <c r="BZ6701" s="8"/>
      <c r="CD6701" s="8"/>
    </row>
    <row r="6702" spans="73:82" ht="15.75">
      <c r="BU6702" s="8"/>
      <c r="BZ6702" s="8"/>
      <c r="CD6702" s="8"/>
    </row>
    <row r="6703" spans="73:82" ht="15.75">
      <c r="BU6703" s="8"/>
      <c r="BZ6703" s="8"/>
      <c r="CD6703" s="8"/>
    </row>
    <row r="6704" spans="73:82" ht="15.75">
      <c r="BU6704" s="8"/>
      <c r="BZ6704" s="8"/>
      <c r="CD6704" s="8"/>
    </row>
    <row r="6705" spans="73:82" ht="15.75">
      <c r="BU6705" s="8"/>
      <c r="BZ6705" s="8"/>
      <c r="CD6705" s="8"/>
    </row>
    <row r="6706" spans="73:82" ht="15.75">
      <c r="BU6706" s="8"/>
      <c r="BZ6706" s="8"/>
      <c r="CD6706" s="8"/>
    </row>
    <row r="6707" spans="73:82" ht="15.75">
      <c r="BU6707" s="8"/>
      <c r="BZ6707" s="8"/>
      <c r="CD6707" s="8"/>
    </row>
    <row r="6708" spans="73:82" ht="15.75">
      <c r="BU6708" s="8"/>
      <c r="BZ6708" s="8"/>
      <c r="CD6708" s="8"/>
    </row>
    <row r="6709" spans="73:82" ht="15.75">
      <c r="BU6709" s="8"/>
      <c r="BZ6709" s="8"/>
      <c r="CD6709" s="8"/>
    </row>
    <row r="6710" spans="73:82" ht="15.75">
      <c r="BU6710" s="8"/>
      <c r="BZ6710" s="8"/>
      <c r="CD6710" s="8"/>
    </row>
    <row r="6711" spans="73:82" ht="15.75">
      <c r="BU6711" s="8"/>
      <c r="BZ6711" s="8"/>
      <c r="CD6711" s="8"/>
    </row>
    <row r="6712" spans="73:82" ht="15.75">
      <c r="BU6712" s="8"/>
      <c r="BZ6712" s="8"/>
      <c r="CD6712" s="8"/>
    </row>
    <row r="6713" spans="73:82" ht="15.75">
      <c r="BU6713" s="8"/>
      <c r="BZ6713" s="8"/>
      <c r="CD6713" s="8"/>
    </row>
    <row r="6714" spans="73:82" ht="15.75">
      <c r="BU6714" s="8"/>
      <c r="BZ6714" s="8"/>
      <c r="CD6714" s="8"/>
    </row>
    <row r="6715" spans="73:82" ht="15.75">
      <c r="BU6715" s="8"/>
      <c r="BZ6715" s="8"/>
      <c r="CD6715" s="8"/>
    </row>
    <row r="6716" spans="73:82" ht="15.75">
      <c r="BU6716" s="8"/>
      <c r="BZ6716" s="8"/>
      <c r="CD6716" s="8"/>
    </row>
    <row r="6717" spans="73:82" ht="15.75">
      <c r="BU6717" s="8"/>
      <c r="BZ6717" s="8"/>
      <c r="CD6717" s="8"/>
    </row>
    <row r="6718" spans="73:82" ht="15.75">
      <c r="BU6718" s="8"/>
      <c r="BZ6718" s="8"/>
      <c r="CD6718" s="8"/>
    </row>
    <row r="6719" spans="73:82" ht="15.75">
      <c r="BU6719" s="8"/>
      <c r="BZ6719" s="8"/>
      <c r="CD6719" s="8"/>
    </row>
    <row r="6720" spans="73:82" ht="15.75">
      <c r="BU6720" s="8"/>
      <c r="BZ6720" s="8"/>
      <c r="CD6720" s="8"/>
    </row>
    <row r="6721" spans="73:82" ht="15.75">
      <c r="BU6721" s="8"/>
      <c r="BZ6721" s="8"/>
      <c r="CD6721" s="8"/>
    </row>
    <row r="6722" spans="73:82" ht="15.75">
      <c r="BU6722" s="8"/>
      <c r="BZ6722" s="8"/>
      <c r="CD6722" s="8"/>
    </row>
    <row r="6723" spans="73:82" ht="15.75">
      <c r="BU6723" s="8"/>
      <c r="BZ6723" s="8"/>
      <c r="CD6723" s="8"/>
    </row>
    <row r="6724" spans="73:82" ht="15.75">
      <c r="BU6724" s="8"/>
      <c r="BZ6724" s="8"/>
      <c r="CD6724" s="8"/>
    </row>
    <row r="6725" spans="73:82" ht="15.75">
      <c r="BU6725" s="8"/>
      <c r="BZ6725" s="8"/>
      <c r="CD6725" s="8"/>
    </row>
    <row r="6726" spans="73:82" ht="15.75">
      <c r="BU6726" s="8"/>
      <c r="BZ6726" s="8"/>
      <c r="CD6726" s="8"/>
    </row>
    <row r="6727" spans="73:82" ht="15.75">
      <c r="BU6727" s="8"/>
      <c r="BZ6727" s="8"/>
      <c r="CD6727" s="8"/>
    </row>
    <row r="6728" spans="73:82" ht="15.75">
      <c r="BU6728" s="8"/>
      <c r="BZ6728" s="8"/>
      <c r="CD6728" s="8"/>
    </row>
    <row r="6729" spans="73:82" ht="15.75">
      <c r="BU6729" s="8"/>
      <c r="BZ6729" s="8"/>
      <c r="CD6729" s="8"/>
    </row>
    <row r="6730" spans="73:82" ht="15.75">
      <c r="BU6730" s="8"/>
      <c r="BZ6730" s="8"/>
      <c r="CD6730" s="8"/>
    </row>
    <row r="6731" spans="73:82" ht="15.75">
      <c r="BU6731" s="8"/>
      <c r="BZ6731" s="8"/>
      <c r="CD6731" s="8"/>
    </row>
    <row r="6732" spans="73:82" ht="15.75">
      <c r="BU6732" s="8"/>
      <c r="BZ6732" s="8"/>
      <c r="CD6732" s="8"/>
    </row>
    <row r="6733" spans="73:82" ht="15.75">
      <c r="BU6733" s="8"/>
      <c r="BZ6733" s="8"/>
      <c r="CD6733" s="8"/>
    </row>
    <row r="6734" spans="73:82" ht="15.75">
      <c r="BU6734" s="8"/>
      <c r="BZ6734" s="8"/>
      <c r="CD6734" s="8"/>
    </row>
    <row r="6735" spans="73:82" ht="15.75">
      <c r="BU6735" s="8"/>
      <c r="BZ6735" s="8"/>
      <c r="CD6735" s="8"/>
    </row>
    <row r="6736" spans="73:82" ht="15.75">
      <c r="BU6736" s="8"/>
      <c r="BZ6736" s="8"/>
      <c r="CD6736" s="8"/>
    </row>
    <row r="6737" spans="73:82" ht="15.75">
      <c r="BU6737" s="8"/>
      <c r="BZ6737" s="8"/>
      <c r="CD6737" s="8"/>
    </row>
    <row r="6738" spans="73:82" ht="15.75">
      <c r="BU6738" s="8"/>
      <c r="BZ6738" s="8"/>
      <c r="CD6738" s="8"/>
    </row>
    <row r="6739" spans="73:82" ht="15.75">
      <c r="BU6739" s="8"/>
      <c r="BZ6739" s="8"/>
      <c r="CD6739" s="8"/>
    </row>
    <row r="6740" spans="73:82" ht="15.75">
      <c r="BU6740" s="8"/>
      <c r="BZ6740" s="8"/>
      <c r="CD6740" s="8"/>
    </row>
    <row r="6741" spans="73:82" ht="15.75">
      <c r="BU6741" s="8"/>
      <c r="BZ6741" s="8"/>
      <c r="CD6741" s="8"/>
    </row>
    <row r="6742" spans="73:82" ht="15.75">
      <c r="BU6742" s="8"/>
      <c r="BZ6742" s="8"/>
      <c r="CD6742" s="8"/>
    </row>
    <row r="6743" spans="73:82" ht="15.75">
      <c r="BU6743" s="8"/>
      <c r="BZ6743" s="8"/>
      <c r="CD6743" s="8"/>
    </row>
    <row r="6744" spans="73:82" ht="15.75">
      <c r="BU6744" s="8"/>
      <c r="BZ6744" s="8"/>
      <c r="CD6744" s="8"/>
    </row>
    <row r="6745" spans="73:82" ht="15.75">
      <c r="BU6745" s="8"/>
      <c r="BZ6745" s="8"/>
      <c r="CD6745" s="8"/>
    </row>
    <row r="6746" spans="73:82" ht="15.75">
      <c r="BU6746" s="8"/>
      <c r="BZ6746" s="8"/>
      <c r="CD6746" s="8"/>
    </row>
    <row r="6747" spans="73:82" ht="15.75">
      <c r="BU6747" s="8"/>
      <c r="BZ6747" s="8"/>
      <c r="CD6747" s="8"/>
    </row>
    <row r="6748" spans="73:82" ht="15.75">
      <c r="BU6748" s="8"/>
      <c r="BZ6748" s="8"/>
      <c r="CD6748" s="8"/>
    </row>
    <row r="6749" spans="73:82" ht="15.75">
      <c r="BU6749" s="8"/>
      <c r="BZ6749" s="8"/>
      <c r="CD6749" s="8"/>
    </row>
    <row r="6750" spans="73:82" ht="15.75">
      <c r="BU6750" s="8"/>
      <c r="BZ6750" s="8"/>
      <c r="CD6750" s="8"/>
    </row>
    <row r="6751" spans="73:82" ht="15.75">
      <c r="BU6751" s="8"/>
      <c r="BZ6751" s="8"/>
      <c r="CD6751" s="8"/>
    </row>
    <row r="6752" spans="73:82" ht="15.75">
      <c r="BU6752" s="8"/>
      <c r="BZ6752" s="8"/>
      <c r="CD6752" s="8"/>
    </row>
    <row r="6753" spans="73:82" ht="15.75">
      <c r="BU6753" s="8"/>
      <c r="BZ6753" s="8"/>
      <c r="CD6753" s="8"/>
    </row>
    <row r="6754" spans="73:82" ht="15.75">
      <c r="BU6754" s="8"/>
      <c r="BZ6754" s="8"/>
      <c r="CD6754" s="8"/>
    </row>
    <row r="6755" spans="73:82" ht="15.75">
      <c r="BU6755" s="8"/>
      <c r="BZ6755" s="8"/>
      <c r="CD6755" s="8"/>
    </row>
    <row r="6756" spans="73:82" ht="15.75">
      <c r="BU6756" s="8"/>
      <c r="BZ6756" s="8"/>
      <c r="CD6756" s="8"/>
    </row>
    <row r="6757" spans="73:82" ht="15.75">
      <c r="BU6757" s="8"/>
      <c r="BZ6757" s="8"/>
      <c r="CD6757" s="8"/>
    </row>
    <row r="6758" spans="73:82" ht="15.75">
      <c r="BU6758" s="8"/>
      <c r="BZ6758" s="8"/>
      <c r="CD6758" s="8"/>
    </row>
    <row r="6759" spans="73:82" ht="15.75">
      <c r="BU6759" s="8"/>
      <c r="BZ6759" s="8"/>
      <c r="CD6759" s="8"/>
    </row>
    <row r="6760" spans="73:82" ht="15.75">
      <c r="BU6760" s="8"/>
      <c r="BZ6760" s="8"/>
      <c r="CD6760" s="8"/>
    </row>
    <row r="6761" spans="73:82" ht="15.75">
      <c r="BU6761" s="8"/>
      <c r="BZ6761" s="8"/>
      <c r="CD6761" s="8"/>
    </row>
    <row r="6762" spans="73:82" ht="15.75">
      <c r="BU6762" s="8"/>
      <c r="BZ6762" s="8"/>
      <c r="CD6762" s="8"/>
    </row>
    <row r="6763" spans="73:82" ht="15.75">
      <c r="BU6763" s="8"/>
      <c r="BZ6763" s="8"/>
      <c r="CD6763" s="8"/>
    </row>
    <row r="6764" spans="73:82" ht="15.75">
      <c r="BU6764" s="8"/>
      <c r="BZ6764" s="8"/>
      <c r="CD6764" s="8"/>
    </row>
    <row r="6765" spans="73:82" ht="15.75">
      <c r="BU6765" s="8"/>
      <c r="BZ6765" s="8"/>
      <c r="CD6765" s="8"/>
    </row>
    <row r="6766" spans="73:82" ht="15.75">
      <c r="BU6766" s="8"/>
      <c r="BZ6766" s="8"/>
      <c r="CD6766" s="8"/>
    </row>
    <row r="6767" spans="73:82" ht="15.75">
      <c r="BU6767" s="8"/>
      <c r="BZ6767" s="8"/>
      <c r="CD6767" s="8"/>
    </row>
    <row r="6768" spans="73:82" ht="15.75">
      <c r="BU6768" s="8"/>
      <c r="BZ6768" s="8"/>
      <c r="CD6768" s="8"/>
    </row>
    <row r="6769" spans="73:82" ht="15.75">
      <c r="BU6769" s="8"/>
      <c r="BZ6769" s="8"/>
      <c r="CD6769" s="8"/>
    </row>
    <row r="6770" spans="73:82" ht="15.75">
      <c r="BU6770" s="8"/>
      <c r="BZ6770" s="8"/>
      <c r="CD6770" s="8"/>
    </row>
    <row r="6771" spans="73:82" ht="15.75">
      <c r="BU6771" s="8"/>
      <c r="BZ6771" s="8"/>
      <c r="CD6771" s="8"/>
    </row>
    <row r="6772" spans="73:82" ht="15.75">
      <c r="BU6772" s="8"/>
      <c r="BZ6772" s="8"/>
      <c r="CD6772" s="8"/>
    </row>
    <row r="6773" spans="73:82" ht="15.75">
      <c r="BU6773" s="8"/>
      <c r="BZ6773" s="8"/>
      <c r="CD6773" s="8"/>
    </row>
    <row r="6774" spans="73:82" ht="15.75">
      <c r="BU6774" s="8"/>
      <c r="BZ6774" s="8"/>
      <c r="CD6774" s="8"/>
    </row>
    <row r="6775" spans="73:82" ht="15.75">
      <c r="BU6775" s="8"/>
      <c r="BZ6775" s="8"/>
      <c r="CD6775" s="8"/>
    </row>
    <row r="6776" spans="73:82" ht="15.75">
      <c r="BU6776" s="8"/>
      <c r="BZ6776" s="8"/>
      <c r="CD6776" s="8"/>
    </row>
    <row r="6777" spans="73:82" ht="15.75">
      <c r="BU6777" s="8"/>
      <c r="BZ6777" s="8"/>
      <c r="CD6777" s="8"/>
    </row>
    <row r="6778" spans="73:82" ht="15.75">
      <c r="BU6778" s="8"/>
      <c r="BZ6778" s="8"/>
      <c r="CD6778" s="8"/>
    </row>
    <row r="6779" spans="73:82" ht="15.75">
      <c r="BU6779" s="8"/>
      <c r="BZ6779" s="8"/>
      <c r="CD6779" s="8"/>
    </row>
    <row r="6780" spans="73:82" ht="15.75">
      <c r="BU6780" s="8"/>
      <c r="BZ6780" s="8"/>
      <c r="CD6780" s="8"/>
    </row>
    <row r="6781" spans="73:82" ht="15.75">
      <c r="BU6781" s="8"/>
      <c r="BZ6781" s="8"/>
      <c r="CD6781" s="8"/>
    </row>
    <row r="6782" spans="73:82" ht="15.75">
      <c r="BU6782" s="8"/>
      <c r="BZ6782" s="8"/>
      <c r="CD6782" s="8"/>
    </row>
    <row r="6783" spans="73:82" ht="15.75">
      <c r="BU6783" s="8"/>
      <c r="BZ6783" s="8"/>
      <c r="CD6783" s="8"/>
    </row>
    <row r="6784" spans="73:82" ht="15.75">
      <c r="BU6784" s="8"/>
      <c r="BZ6784" s="8"/>
      <c r="CD6784" s="8"/>
    </row>
    <row r="6785" spans="73:82" ht="15.75">
      <c r="BU6785" s="8"/>
      <c r="BZ6785" s="8"/>
      <c r="CD6785" s="8"/>
    </row>
    <row r="6786" spans="73:82" ht="15.75">
      <c r="BU6786" s="8"/>
      <c r="BZ6786" s="8"/>
      <c r="CD6786" s="8"/>
    </row>
    <row r="6787" spans="73:82" ht="15.75">
      <c r="BU6787" s="8"/>
      <c r="BZ6787" s="8"/>
      <c r="CD6787" s="8"/>
    </row>
    <row r="6788" spans="73:82" ht="15.75">
      <c r="BU6788" s="8"/>
      <c r="BZ6788" s="8"/>
      <c r="CD6788" s="8"/>
    </row>
    <row r="6789" spans="73:82" ht="15.75">
      <c r="BU6789" s="8"/>
      <c r="BZ6789" s="8"/>
      <c r="CD6789" s="8"/>
    </row>
    <row r="6790" spans="73:82" ht="15.75">
      <c r="BU6790" s="8"/>
      <c r="BZ6790" s="8"/>
      <c r="CD6790" s="8"/>
    </row>
    <row r="6791" spans="73:82" ht="15.75">
      <c r="BU6791" s="8"/>
      <c r="BZ6791" s="8"/>
      <c r="CD6791" s="8"/>
    </row>
    <row r="6792" spans="73:82" ht="15.75">
      <c r="BU6792" s="8"/>
      <c r="BZ6792" s="8"/>
      <c r="CD6792" s="8"/>
    </row>
    <row r="6793" spans="73:82" ht="15.75">
      <c r="BU6793" s="8"/>
      <c r="BZ6793" s="8"/>
      <c r="CD6793" s="8"/>
    </row>
    <row r="6794" spans="73:82" ht="15.75">
      <c r="BU6794" s="8"/>
      <c r="BZ6794" s="8"/>
      <c r="CD6794" s="8"/>
    </row>
    <row r="6795" spans="73:82" ht="15.75">
      <c r="BU6795" s="8"/>
      <c r="BZ6795" s="8"/>
      <c r="CD6795" s="8"/>
    </row>
    <row r="6796" spans="73:82" ht="15.75">
      <c r="BU6796" s="8"/>
      <c r="BZ6796" s="8"/>
      <c r="CD6796" s="8"/>
    </row>
    <row r="6797" spans="73:82" ht="15.75">
      <c r="BU6797" s="8"/>
      <c r="BZ6797" s="8"/>
      <c r="CD6797" s="8"/>
    </row>
    <row r="6798" spans="73:82" ht="15.75">
      <c r="BU6798" s="8"/>
      <c r="BZ6798" s="8"/>
      <c r="CD6798" s="8"/>
    </row>
    <row r="6799" spans="73:82" ht="15.75">
      <c r="BU6799" s="8"/>
      <c r="BZ6799" s="8"/>
      <c r="CD6799" s="8"/>
    </row>
    <row r="6800" spans="73:82" ht="15.75">
      <c r="BU6800" s="8"/>
      <c r="BZ6800" s="8"/>
      <c r="CD6800" s="8"/>
    </row>
    <row r="6801" spans="73:82" ht="15.75">
      <c r="BU6801" s="8"/>
      <c r="BZ6801" s="8"/>
      <c r="CD6801" s="8"/>
    </row>
    <row r="6802" spans="73:82" ht="15.75">
      <c r="BU6802" s="8"/>
      <c r="BZ6802" s="8"/>
      <c r="CD6802" s="8"/>
    </row>
    <row r="6803" spans="73:82" ht="15.75">
      <c r="BU6803" s="8"/>
      <c r="BZ6803" s="8"/>
      <c r="CD6803" s="8"/>
    </row>
    <row r="6804" spans="73:82" ht="15.75">
      <c r="BU6804" s="8"/>
      <c r="BZ6804" s="8"/>
      <c r="CD6804" s="8"/>
    </row>
    <row r="6805" spans="73:82" ht="15.75">
      <c r="BU6805" s="8"/>
      <c r="BZ6805" s="8"/>
      <c r="CD6805" s="8"/>
    </row>
    <row r="6806" spans="73:82" ht="15.75">
      <c r="BU6806" s="8"/>
      <c r="BZ6806" s="8"/>
      <c r="CD6806" s="8"/>
    </row>
    <row r="6807" spans="73:82" ht="15.75">
      <c r="BU6807" s="8"/>
      <c r="BZ6807" s="8"/>
      <c r="CD6807" s="8"/>
    </row>
    <row r="6808" spans="73:82" ht="15.75">
      <c r="BU6808" s="8"/>
      <c r="BZ6808" s="8"/>
      <c r="CD6808" s="8"/>
    </row>
    <row r="6809" spans="73:82" ht="15.75">
      <c r="BU6809" s="8"/>
      <c r="BZ6809" s="8"/>
      <c r="CD6809" s="8"/>
    </row>
    <row r="6810" spans="73:82" ht="15.75">
      <c r="BU6810" s="8"/>
      <c r="BZ6810" s="8"/>
      <c r="CD6810" s="8"/>
    </row>
    <row r="6811" spans="73:82" ht="15.75">
      <c r="BU6811" s="8"/>
      <c r="BZ6811" s="8"/>
      <c r="CD6811" s="8"/>
    </row>
    <row r="6812" spans="73:82" ht="15.75">
      <c r="BU6812" s="8"/>
      <c r="BZ6812" s="8"/>
      <c r="CD6812" s="8"/>
    </row>
    <row r="6813" spans="73:82" ht="15.75">
      <c r="BU6813" s="8"/>
      <c r="BZ6813" s="8"/>
      <c r="CD6813" s="8"/>
    </row>
    <row r="6814" spans="73:82" ht="15.75">
      <c r="BU6814" s="8"/>
      <c r="BZ6814" s="8"/>
      <c r="CD6814" s="8"/>
    </row>
    <row r="6815" spans="73:82" ht="15.75">
      <c r="BU6815" s="8"/>
      <c r="BZ6815" s="8"/>
      <c r="CD6815" s="8"/>
    </row>
    <row r="6816" spans="73:82" ht="15.75">
      <c r="BU6816" s="8"/>
      <c r="BZ6816" s="8"/>
      <c r="CD6816" s="8"/>
    </row>
    <row r="6817" spans="73:82" ht="15.75">
      <c r="BU6817" s="8"/>
      <c r="BZ6817" s="8"/>
      <c r="CD6817" s="8"/>
    </row>
    <row r="6818" spans="73:82" ht="15.75">
      <c r="BU6818" s="8"/>
      <c r="BZ6818" s="8"/>
      <c r="CD6818" s="8"/>
    </row>
    <row r="6819" spans="73:82" ht="15.75">
      <c r="BU6819" s="8"/>
      <c r="BZ6819" s="8"/>
      <c r="CD6819" s="8"/>
    </row>
    <row r="6820" spans="73:82" ht="15.75">
      <c r="BU6820" s="8"/>
      <c r="BZ6820" s="8"/>
      <c r="CD6820" s="8"/>
    </row>
    <row r="6821" spans="73:82" ht="15.75">
      <c r="BU6821" s="8"/>
      <c r="BZ6821" s="8"/>
      <c r="CD6821" s="8"/>
    </row>
    <row r="6822" spans="73:82" ht="15.75">
      <c r="BU6822" s="8"/>
      <c r="BZ6822" s="8"/>
      <c r="CD6822" s="8"/>
    </row>
    <row r="6823" spans="73:82" ht="15.75">
      <c r="BU6823" s="8"/>
      <c r="BZ6823" s="8"/>
      <c r="CD6823" s="8"/>
    </row>
    <row r="6824" spans="73:82" ht="15.75">
      <c r="BU6824" s="8"/>
      <c r="BZ6824" s="8"/>
      <c r="CD6824" s="8"/>
    </row>
    <row r="6825" spans="73:82" ht="15.75">
      <c r="BU6825" s="8"/>
      <c r="BZ6825" s="8"/>
      <c r="CD6825" s="8"/>
    </row>
    <row r="6826" spans="73:82" ht="15.75">
      <c r="BU6826" s="8"/>
      <c r="BZ6826" s="8"/>
      <c r="CD6826" s="8"/>
    </row>
    <row r="6827" spans="73:82" ht="15.75">
      <c r="BU6827" s="8"/>
      <c r="BZ6827" s="8"/>
      <c r="CD6827" s="8"/>
    </row>
    <row r="6828" spans="73:82" ht="15.75">
      <c r="BU6828" s="8"/>
      <c r="BZ6828" s="8"/>
      <c r="CD6828" s="8"/>
    </row>
    <row r="6829" spans="73:82" ht="15.75">
      <c r="BU6829" s="8"/>
      <c r="BZ6829" s="8"/>
      <c r="CD6829" s="8"/>
    </row>
    <row r="6830" spans="73:82" ht="15.75">
      <c r="BU6830" s="8"/>
      <c r="BZ6830" s="8"/>
      <c r="CD6830" s="8"/>
    </row>
    <row r="6831" spans="73:82" ht="15.75">
      <c r="BU6831" s="8"/>
      <c r="BZ6831" s="8"/>
      <c r="CD6831" s="8"/>
    </row>
    <row r="6832" spans="73:82" ht="15.75">
      <c r="BU6832" s="8"/>
      <c r="BZ6832" s="8"/>
      <c r="CD6832" s="8"/>
    </row>
    <row r="6833" spans="73:82" ht="15.75">
      <c r="BU6833" s="8"/>
      <c r="BZ6833" s="8"/>
      <c r="CD6833" s="8"/>
    </row>
    <row r="6834" spans="73:82" ht="15.75">
      <c r="BU6834" s="8"/>
      <c r="BZ6834" s="8"/>
      <c r="CD6834" s="8"/>
    </row>
    <row r="6835" spans="73:82" ht="15.75">
      <c r="BU6835" s="8"/>
      <c r="BZ6835" s="8"/>
      <c r="CD6835" s="8"/>
    </row>
    <row r="6836" spans="73:82" ht="15.75">
      <c r="BU6836" s="8"/>
      <c r="BZ6836" s="8"/>
      <c r="CD6836" s="8"/>
    </row>
    <row r="6837" spans="73:82" ht="15.75">
      <c r="BU6837" s="8"/>
      <c r="BZ6837" s="8"/>
      <c r="CD6837" s="8"/>
    </row>
    <row r="6838" spans="73:82" ht="15.75">
      <c r="BU6838" s="8"/>
      <c r="BZ6838" s="8"/>
      <c r="CD6838" s="8"/>
    </row>
    <row r="6839" spans="73:82" ht="15.75">
      <c r="BU6839" s="8"/>
      <c r="BZ6839" s="8"/>
      <c r="CD6839" s="8"/>
    </row>
    <row r="6840" spans="73:82" ht="15.75">
      <c r="BU6840" s="8"/>
      <c r="BZ6840" s="8"/>
      <c r="CD6840" s="8"/>
    </row>
    <row r="6841" spans="73:82" ht="15.75">
      <c r="BU6841" s="8"/>
      <c r="BZ6841" s="8"/>
      <c r="CD6841" s="8"/>
    </row>
    <row r="6842" spans="73:82" ht="15.75">
      <c r="BU6842" s="8"/>
      <c r="BZ6842" s="8"/>
      <c r="CD6842" s="8"/>
    </row>
    <row r="6843" spans="73:82" ht="15.75">
      <c r="BU6843" s="8"/>
      <c r="BZ6843" s="8"/>
      <c r="CD6843" s="8"/>
    </row>
    <row r="6844" spans="73:82" ht="15.75">
      <c r="BU6844" s="8"/>
      <c r="BZ6844" s="8"/>
      <c r="CD6844" s="8"/>
    </row>
    <row r="6845" spans="73:82" ht="15.75">
      <c r="BU6845" s="8"/>
      <c r="BZ6845" s="8"/>
      <c r="CD6845" s="8"/>
    </row>
    <row r="6846" spans="73:82" ht="15.75">
      <c r="BU6846" s="8"/>
      <c r="BZ6846" s="8"/>
      <c r="CD6846" s="8"/>
    </row>
    <row r="6847" spans="73:82" ht="15.75">
      <c r="BU6847" s="8"/>
      <c r="BZ6847" s="8"/>
      <c r="CD6847" s="8"/>
    </row>
    <row r="6848" spans="73:82" ht="15.75">
      <c r="BU6848" s="8"/>
      <c r="BZ6848" s="8"/>
      <c r="CD6848" s="8"/>
    </row>
    <row r="6849" spans="73:82" ht="15.75">
      <c r="BU6849" s="8"/>
      <c r="BZ6849" s="8"/>
      <c r="CD6849" s="8"/>
    </row>
    <row r="6850" spans="73:82" ht="15.75">
      <c r="BU6850" s="8"/>
      <c r="BZ6850" s="8"/>
      <c r="CD6850" s="8"/>
    </row>
    <row r="6851" spans="73:82" ht="15.75">
      <c r="BU6851" s="8"/>
      <c r="BZ6851" s="8"/>
      <c r="CD6851" s="8"/>
    </row>
    <row r="6852" spans="73:82" ht="15.75">
      <c r="BU6852" s="8"/>
      <c r="BZ6852" s="8"/>
      <c r="CD6852" s="8"/>
    </row>
    <row r="6853" spans="73:82" ht="15.75">
      <c r="BU6853" s="8"/>
      <c r="BZ6853" s="8"/>
      <c r="CD6853" s="8"/>
    </row>
    <row r="6854" spans="73:82" ht="15.75">
      <c r="BU6854" s="8"/>
      <c r="BZ6854" s="8"/>
      <c r="CD6854" s="8"/>
    </row>
    <row r="6855" spans="73:82" ht="15.75">
      <c r="BU6855" s="8"/>
      <c r="BZ6855" s="8"/>
      <c r="CD6855" s="8"/>
    </row>
    <row r="6856" spans="73:82" ht="15.75">
      <c r="BU6856" s="8"/>
      <c r="BZ6856" s="8"/>
      <c r="CD6856" s="8"/>
    </row>
    <row r="6857" spans="73:82" ht="15.75">
      <c r="BU6857" s="8"/>
      <c r="BZ6857" s="8"/>
      <c r="CD6857" s="8"/>
    </row>
    <row r="6858" spans="73:82" ht="15.75">
      <c r="BU6858" s="8"/>
      <c r="BZ6858" s="8"/>
      <c r="CD6858" s="8"/>
    </row>
    <row r="6859" spans="73:82" ht="15.75">
      <c r="BU6859" s="8"/>
      <c r="BZ6859" s="8"/>
      <c r="CD6859" s="8"/>
    </row>
    <row r="6860" spans="73:82" ht="15.75">
      <c r="BU6860" s="8"/>
      <c r="BZ6860" s="8"/>
      <c r="CD6860" s="8"/>
    </row>
    <row r="6861" spans="73:82" ht="15.75">
      <c r="BU6861" s="8"/>
      <c r="BZ6861" s="8"/>
      <c r="CD6861" s="8"/>
    </row>
    <row r="6862" spans="73:82" ht="15.75">
      <c r="BU6862" s="8"/>
      <c r="BZ6862" s="8"/>
      <c r="CD6862" s="8"/>
    </row>
    <row r="6863" spans="73:82" ht="15.75">
      <c r="BU6863" s="8"/>
      <c r="BZ6863" s="8"/>
      <c r="CD6863" s="8"/>
    </row>
    <row r="6864" spans="73:82" ht="15.75">
      <c r="BU6864" s="8"/>
      <c r="BZ6864" s="8"/>
      <c r="CD6864" s="8"/>
    </row>
    <row r="6865" spans="73:82" ht="15.75">
      <c r="BU6865" s="8"/>
      <c r="BZ6865" s="8"/>
      <c r="CD6865" s="8"/>
    </row>
    <row r="6866" spans="73:82" ht="15.75">
      <c r="BU6866" s="8"/>
      <c r="BZ6866" s="8"/>
      <c r="CD6866" s="8"/>
    </row>
    <row r="6867" spans="73:82" ht="15.75">
      <c r="BU6867" s="8"/>
      <c r="BZ6867" s="8"/>
      <c r="CD6867" s="8"/>
    </row>
    <row r="6868" spans="73:82" ht="15.75">
      <c r="BU6868" s="8"/>
      <c r="BZ6868" s="8"/>
      <c r="CD6868" s="8"/>
    </row>
    <row r="6869" spans="73:82" ht="15.75">
      <c r="BU6869" s="8"/>
      <c r="BZ6869" s="8"/>
      <c r="CD6869" s="8"/>
    </row>
    <row r="6870" spans="73:82" ht="15.75">
      <c r="BU6870" s="8"/>
      <c r="BZ6870" s="8"/>
      <c r="CD6870" s="8"/>
    </row>
    <row r="6871" spans="73:82" ht="15.75">
      <c r="BU6871" s="8"/>
      <c r="BZ6871" s="8"/>
      <c r="CD6871" s="8"/>
    </row>
    <row r="6872" spans="73:82" ht="15.75">
      <c r="BU6872" s="8"/>
      <c r="BZ6872" s="8"/>
      <c r="CD6872" s="8"/>
    </row>
    <row r="6873" spans="73:82" ht="15.75">
      <c r="BU6873" s="8"/>
      <c r="BZ6873" s="8"/>
      <c r="CD6873" s="8"/>
    </row>
    <row r="6874" spans="73:82" ht="15.75">
      <c r="BU6874" s="8"/>
      <c r="BZ6874" s="8"/>
      <c r="CD6874" s="8"/>
    </row>
    <row r="6875" spans="73:82" ht="15.75">
      <c r="BU6875" s="8"/>
      <c r="BZ6875" s="8"/>
      <c r="CD6875" s="8"/>
    </row>
    <row r="6876" spans="73:82" ht="15.75">
      <c r="BU6876" s="8"/>
      <c r="BZ6876" s="8"/>
      <c r="CD6876" s="8"/>
    </row>
    <row r="6877" spans="73:82" ht="15.75">
      <c r="BU6877" s="8"/>
      <c r="BZ6877" s="8"/>
      <c r="CD6877" s="8"/>
    </row>
    <row r="6878" spans="73:82" ht="15.75">
      <c r="BU6878" s="8"/>
      <c r="BZ6878" s="8"/>
      <c r="CD6878" s="8"/>
    </row>
    <row r="6879" spans="73:82" ht="15.75">
      <c r="BU6879" s="8"/>
      <c r="BZ6879" s="8"/>
      <c r="CD6879" s="8"/>
    </row>
    <row r="6880" spans="73:82" ht="15.75">
      <c r="BU6880" s="8"/>
      <c r="BZ6880" s="8"/>
      <c r="CD6880" s="8"/>
    </row>
    <row r="6881" spans="73:82" ht="15.75">
      <c r="BU6881" s="8"/>
      <c r="BZ6881" s="8"/>
      <c r="CD6881" s="8"/>
    </row>
    <row r="6882" spans="73:82" ht="15.75">
      <c r="BU6882" s="8"/>
      <c r="BZ6882" s="8"/>
      <c r="CD6882" s="8"/>
    </row>
    <row r="6883" spans="73:82" ht="15.75">
      <c r="BU6883" s="8"/>
      <c r="BZ6883" s="8"/>
      <c r="CD6883" s="8"/>
    </row>
    <row r="6884" spans="73:82" ht="15.75">
      <c r="BU6884" s="8"/>
      <c r="BZ6884" s="8"/>
      <c r="CD6884" s="8"/>
    </row>
    <row r="6885" spans="73:82" ht="15.75">
      <c r="BU6885" s="8"/>
      <c r="BZ6885" s="8"/>
      <c r="CD6885" s="8"/>
    </row>
    <row r="6886" spans="73:82" ht="15.75">
      <c r="BU6886" s="8"/>
      <c r="BZ6886" s="8"/>
      <c r="CD6886" s="8"/>
    </row>
    <row r="6887" spans="73:82" ht="15.75">
      <c r="BU6887" s="8"/>
      <c r="BZ6887" s="8"/>
      <c r="CD6887" s="8"/>
    </row>
    <row r="6888" spans="73:82" ht="15.75">
      <c r="BU6888" s="8"/>
      <c r="BZ6888" s="8"/>
      <c r="CD6888" s="8"/>
    </row>
    <row r="6889" spans="73:82" ht="15.75">
      <c r="BU6889" s="8"/>
      <c r="BZ6889" s="8"/>
      <c r="CD6889" s="8"/>
    </row>
    <row r="6890" spans="73:82" ht="15.75">
      <c r="BU6890" s="8"/>
      <c r="BZ6890" s="8"/>
      <c r="CD6890" s="8"/>
    </row>
    <row r="6891" spans="73:82" ht="15.75">
      <c r="BU6891" s="8"/>
      <c r="BZ6891" s="8"/>
      <c r="CD6891" s="8"/>
    </row>
    <row r="6892" spans="73:82" ht="15.75">
      <c r="BU6892" s="8"/>
      <c r="BZ6892" s="8"/>
      <c r="CD6892" s="8"/>
    </row>
    <row r="6893" spans="73:82" ht="15.75">
      <c r="BU6893" s="8"/>
      <c r="BZ6893" s="8"/>
      <c r="CD6893" s="8"/>
    </row>
    <row r="6894" spans="73:82" ht="15.75">
      <c r="BU6894" s="8"/>
      <c r="BZ6894" s="8"/>
      <c r="CD6894" s="8"/>
    </row>
    <row r="6895" spans="73:82" ht="15.75">
      <c r="BU6895" s="8"/>
      <c r="BZ6895" s="8"/>
      <c r="CD6895" s="8"/>
    </row>
    <row r="6896" spans="73:82" ht="15.75">
      <c r="BU6896" s="8"/>
      <c r="BZ6896" s="8"/>
      <c r="CD6896" s="8"/>
    </row>
    <row r="6897" spans="73:82" ht="15.75">
      <c r="BU6897" s="8"/>
      <c r="BZ6897" s="8"/>
      <c r="CD6897" s="8"/>
    </row>
    <row r="6898" spans="73:82" ht="15.75">
      <c r="BU6898" s="8"/>
      <c r="BZ6898" s="8"/>
      <c r="CD6898" s="8"/>
    </row>
    <row r="6899" spans="73:82" ht="15.75">
      <c r="BU6899" s="8"/>
      <c r="BZ6899" s="8"/>
      <c r="CD6899" s="8"/>
    </row>
    <row r="6900" spans="73:82" ht="15.75">
      <c r="BU6900" s="8"/>
      <c r="BZ6900" s="8"/>
      <c r="CD6900" s="8"/>
    </row>
    <row r="6901" spans="73:82" ht="15.75">
      <c r="BU6901" s="8"/>
      <c r="BZ6901" s="8"/>
      <c r="CD6901" s="8"/>
    </row>
    <row r="6902" spans="73:82" ht="15.75">
      <c r="BU6902" s="8"/>
      <c r="BZ6902" s="8"/>
      <c r="CD6902" s="8"/>
    </row>
    <row r="6903" spans="73:82" ht="15.75">
      <c r="BU6903" s="8"/>
      <c r="BZ6903" s="8"/>
      <c r="CD6903" s="8"/>
    </row>
    <row r="6904" spans="73:82" ht="15.75">
      <c r="BU6904" s="8"/>
      <c r="BZ6904" s="8"/>
      <c r="CD6904" s="8"/>
    </row>
    <row r="6905" spans="73:82" ht="15.75">
      <c r="BU6905" s="8"/>
      <c r="BZ6905" s="8"/>
      <c r="CD6905" s="8"/>
    </row>
    <row r="6906" spans="73:82" ht="15.75">
      <c r="BU6906" s="8"/>
      <c r="BZ6906" s="8"/>
      <c r="CD6906" s="8"/>
    </row>
    <row r="6907" spans="73:82" ht="15.75">
      <c r="BU6907" s="8"/>
      <c r="BZ6907" s="8"/>
      <c r="CD6907" s="8"/>
    </row>
    <row r="6908" spans="73:82" ht="15.75">
      <c r="BU6908" s="8"/>
      <c r="BZ6908" s="8"/>
      <c r="CD6908" s="8"/>
    </row>
    <row r="6909" spans="73:82" ht="15.75">
      <c r="BU6909" s="8"/>
      <c r="BZ6909" s="8"/>
      <c r="CD6909" s="8"/>
    </row>
    <row r="6910" spans="73:82" ht="15.75">
      <c r="BU6910" s="8"/>
      <c r="BZ6910" s="8"/>
      <c r="CD6910" s="8"/>
    </row>
    <row r="6911" spans="73:82" ht="15.75">
      <c r="BU6911" s="8"/>
      <c r="BZ6911" s="8"/>
      <c r="CD6911" s="8"/>
    </row>
    <row r="6912" spans="73:82" ht="15.75">
      <c r="BU6912" s="8"/>
      <c r="BZ6912" s="8"/>
      <c r="CD6912" s="8"/>
    </row>
    <row r="6913" spans="73:82" ht="15.75">
      <c r="BU6913" s="8"/>
      <c r="BZ6913" s="8"/>
      <c r="CD6913" s="8"/>
    </row>
    <row r="6914" spans="73:82" ht="15.75">
      <c r="BU6914" s="8"/>
      <c r="BZ6914" s="8"/>
      <c r="CD6914" s="8"/>
    </row>
    <row r="6915" spans="73:82" ht="15.75">
      <c r="BU6915" s="8"/>
      <c r="BZ6915" s="8"/>
      <c r="CD6915" s="8"/>
    </row>
    <row r="6916" spans="73:82" ht="15.75">
      <c r="BU6916" s="8"/>
      <c r="BZ6916" s="8"/>
      <c r="CD6916" s="8"/>
    </row>
    <row r="6917" spans="73:82" ht="15.75">
      <c r="BU6917" s="8"/>
      <c r="BZ6917" s="8"/>
      <c r="CD6917" s="8"/>
    </row>
    <row r="6918" spans="73:82" ht="15.75">
      <c r="BU6918" s="8"/>
      <c r="BZ6918" s="8"/>
      <c r="CD6918" s="8"/>
    </row>
    <row r="6919" spans="73:82" ht="15.75">
      <c r="BU6919" s="8"/>
      <c r="BZ6919" s="8"/>
      <c r="CD6919" s="8"/>
    </row>
    <row r="6920" spans="73:82" ht="15.75">
      <c r="BU6920" s="8"/>
      <c r="BZ6920" s="8"/>
      <c r="CD6920" s="8"/>
    </row>
    <row r="6921" spans="73:82" ht="15.75">
      <c r="BU6921" s="8"/>
      <c r="BZ6921" s="8"/>
      <c r="CD6921" s="8"/>
    </row>
    <row r="6922" spans="73:82" ht="15.75">
      <c r="BU6922" s="8"/>
      <c r="BZ6922" s="8"/>
      <c r="CD6922" s="8"/>
    </row>
    <row r="6923" spans="73:82" ht="15.75">
      <c r="BU6923" s="8"/>
      <c r="BZ6923" s="8"/>
      <c r="CD6923" s="8"/>
    </row>
    <row r="6924" spans="73:82" ht="15.75">
      <c r="BU6924" s="8"/>
      <c r="BZ6924" s="8"/>
      <c r="CD6924" s="8"/>
    </row>
    <row r="6925" spans="73:82" ht="15.75">
      <c r="BU6925" s="8"/>
      <c r="BZ6925" s="8"/>
      <c r="CD6925" s="8"/>
    </row>
    <row r="6926" spans="73:82" ht="15.75">
      <c r="BU6926" s="8"/>
      <c r="BZ6926" s="8"/>
      <c r="CD6926" s="8"/>
    </row>
    <row r="6927" spans="73:82" ht="15.75">
      <c r="BU6927" s="8"/>
      <c r="BZ6927" s="8"/>
      <c r="CD6927" s="8"/>
    </row>
    <row r="6928" spans="73:82" ht="15.75">
      <c r="BU6928" s="8"/>
      <c r="BZ6928" s="8"/>
      <c r="CD6928" s="8"/>
    </row>
    <row r="6929" spans="73:82" ht="15.75">
      <c r="BU6929" s="8"/>
      <c r="BZ6929" s="8"/>
      <c r="CD6929" s="8"/>
    </row>
    <row r="6930" spans="73:82" ht="15.75">
      <c r="BU6930" s="8"/>
      <c r="BZ6930" s="8"/>
      <c r="CD6930" s="8"/>
    </row>
    <row r="6931" spans="73:82" ht="15.75">
      <c r="BU6931" s="8"/>
      <c r="BZ6931" s="8"/>
      <c r="CD6931" s="8"/>
    </row>
    <row r="6932" spans="73:82" ht="15.75">
      <c r="BU6932" s="8"/>
      <c r="BZ6932" s="8"/>
      <c r="CD6932" s="8"/>
    </row>
    <row r="6933" spans="73:82" ht="15.75">
      <c r="BU6933" s="8"/>
      <c r="BZ6933" s="8"/>
      <c r="CD6933" s="8"/>
    </row>
    <row r="6934" spans="73:82" ht="15.75">
      <c r="BU6934" s="8"/>
      <c r="BZ6934" s="8"/>
      <c r="CD6934" s="8"/>
    </row>
    <row r="6935" spans="73:82" ht="15.75">
      <c r="BU6935" s="8"/>
      <c r="BZ6935" s="8"/>
      <c r="CD6935" s="8"/>
    </row>
    <row r="6936" spans="73:82" ht="15.75">
      <c r="BU6936" s="8"/>
      <c r="BZ6936" s="8"/>
      <c r="CD6936" s="8"/>
    </row>
    <row r="6937" spans="73:82" ht="15.75">
      <c r="BU6937" s="8"/>
      <c r="BZ6937" s="8"/>
      <c r="CD6937" s="8"/>
    </row>
    <row r="6938" spans="73:82" ht="15.75">
      <c r="BU6938" s="8"/>
      <c r="BZ6938" s="8"/>
      <c r="CD6938" s="8"/>
    </row>
    <row r="6939" spans="73:82" ht="15.75">
      <c r="BU6939" s="8"/>
      <c r="BZ6939" s="8"/>
      <c r="CD6939" s="8"/>
    </row>
    <row r="6940" spans="73:82" ht="15.75">
      <c r="BU6940" s="8"/>
      <c r="BZ6940" s="8"/>
      <c r="CD6940" s="8"/>
    </row>
    <row r="6941" spans="73:82" ht="15.75">
      <c r="BU6941" s="8"/>
      <c r="BZ6941" s="8"/>
      <c r="CD6941" s="8"/>
    </row>
    <row r="6942" spans="73:82" ht="15.75">
      <c r="BU6942" s="8"/>
      <c r="BZ6942" s="8"/>
      <c r="CD6942" s="8"/>
    </row>
    <row r="6943" spans="73:82" ht="15.75">
      <c r="BU6943" s="8"/>
      <c r="BZ6943" s="8"/>
      <c r="CD6943" s="8"/>
    </row>
    <row r="6944" spans="73:82" ht="15.75">
      <c r="BU6944" s="8"/>
      <c r="BZ6944" s="8"/>
      <c r="CD6944" s="8"/>
    </row>
    <row r="6945" spans="73:82" ht="15.75">
      <c r="BU6945" s="8"/>
      <c r="BZ6945" s="8"/>
      <c r="CD6945" s="8"/>
    </row>
    <row r="6946" spans="73:82" ht="15.75">
      <c r="BU6946" s="8"/>
      <c r="BZ6946" s="8"/>
      <c r="CD6946" s="8"/>
    </row>
    <row r="6947" spans="73:82" ht="15.75">
      <c r="BU6947" s="8"/>
      <c r="BZ6947" s="8"/>
      <c r="CD6947" s="8"/>
    </row>
    <row r="6948" spans="73:82" ht="15.75">
      <c r="BU6948" s="8"/>
      <c r="BZ6948" s="8"/>
      <c r="CD6948" s="8"/>
    </row>
    <row r="6949" spans="73:82" ht="15.75">
      <c r="BU6949" s="8"/>
      <c r="BZ6949" s="8"/>
      <c r="CD6949" s="8"/>
    </row>
    <row r="6950" spans="73:82" ht="15.75">
      <c r="BU6950" s="8"/>
      <c r="BZ6950" s="8"/>
      <c r="CD6950" s="8"/>
    </row>
    <row r="6951" spans="73:82" ht="15.75">
      <c r="BU6951" s="8"/>
      <c r="BZ6951" s="8"/>
      <c r="CD6951" s="8"/>
    </row>
    <row r="6952" spans="73:82" ht="15.75">
      <c r="BU6952" s="8"/>
      <c r="BZ6952" s="8"/>
      <c r="CD6952" s="8"/>
    </row>
    <row r="6953" spans="73:82" ht="15.75">
      <c r="BU6953" s="8"/>
      <c r="BZ6953" s="8"/>
      <c r="CD6953" s="8"/>
    </row>
    <row r="6954" spans="73:82" ht="15.75">
      <c r="BU6954" s="8"/>
      <c r="BZ6954" s="8"/>
      <c r="CD6954" s="8"/>
    </row>
    <row r="6955" spans="73:82" ht="15.75">
      <c r="BU6955" s="8"/>
      <c r="BZ6955" s="8"/>
      <c r="CD6955" s="8"/>
    </row>
    <row r="6956" spans="73:82" ht="15.75">
      <c r="BU6956" s="8"/>
      <c r="BZ6956" s="8"/>
      <c r="CD6956" s="8"/>
    </row>
    <row r="6957" spans="73:82" ht="15.75">
      <c r="BU6957" s="8"/>
      <c r="BZ6957" s="8"/>
      <c r="CD6957" s="8"/>
    </row>
    <row r="6958" spans="73:82" ht="15.75">
      <c r="BU6958" s="8"/>
      <c r="BZ6958" s="8"/>
      <c r="CD6958" s="8"/>
    </row>
    <row r="6959" spans="73:82" ht="15.75">
      <c r="BU6959" s="8"/>
      <c r="BZ6959" s="8"/>
      <c r="CD6959" s="8"/>
    </row>
    <row r="6960" spans="73:82" ht="15.75">
      <c r="BU6960" s="8"/>
      <c r="BZ6960" s="8"/>
      <c r="CD6960" s="8"/>
    </row>
    <row r="6961" spans="73:82" ht="15.75">
      <c r="BU6961" s="8"/>
      <c r="BZ6961" s="8"/>
      <c r="CD6961" s="8"/>
    </row>
    <row r="6962" spans="73:82" ht="15.75">
      <c r="BU6962" s="8"/>
      <c r="BZ6962" s="8"/>
      <c r="CD6962" s="8"/>
    </row>
    <row r="6963" spans="73:82" ht="15.75">
      <c r="BU6963" s="8"/>
      <c r="BZ6963" s="8"/>
      <c r="CD6963" s="8"/>
    </row>
    <row r="6964" spans="73:82" ht="15.75">
      <c r="BU6964" s="8"/>
      <c r="BZ6964" s="8"/>
      <c r="CD6964" s="8"/>
    </row>
    <row r="6965" spans="73:82" ht="15.75">
      <c r="BU6965" s="8"/>
      <c r="BZ6965" s="8"/>
      <c r="CD6965" s="8"/>
    </row>
    <row r="6966" spans="73:82" ht="15.75">
      <c r="BU6966" s="8"/>
      <c r="BZ6966" s="8"/>
      <c r="CD6966" s="8"/>
    </row>
    <row r="6967" spans="73:82" ht="15.75">
      <c r="BU6967" s="8"/>
      <c r="BZ6967" s="8"/>
      <c r="CD6967" s="8"/>
    </row>
    <row r="6968" spans="73:82" ht="15.75">
      <c r="BU6968" s="8"/>
      <c r="BZ6968" s="8"/>
      <c r="CD6968" s="8"/>
    </row>
    <row r="6969" spans="73:82" ht="15.75">
      <c r="BU6969" s="8"/>
      <c r="BZ6969" s="8"/>
      <c r="CD6969" s="8"/>
    </row>
    <row r="6970" spans="73:82" ht="15.75">
      <c r="BU6970" s="8"/>
      <c r="BZ6970" s="8"/>
      <c r="CD6970" s="8"/>
    </row>
    <row r="6971" spans="73:82" ht="15.75">
      <c r="BU6971" s="8"/>
      <c r="BZ6971" s="8"/>
      <c r="CD6971" s="8"/>
    </row>
    <row r="6972" spans="73:82" ht="15.75">
      <c r="BU6972" s="8"/>
      <c r="BZ6972" s="8"/>
      <c r="CD6972" s="8"/>
    </row>
    <row r="6973" spans="73:82" ht="15.75">
      <c r="BU6973" s="8"/>
      <c r="BZ6973" s="8"/>
      <c r="CD6973" s="8"/>
    </row>
    <row r="6974" spans="73:82" ht="15.75">
      <c r="BU6974" s="8"/>
      <c r="BZ6974" s="8"/>
      <c r="CD6974" s="8"/>
    </row>
    <row r="6975" spans="73:82" ht="15.75">
      <c r="BU6975" s="8"/>
      <c r="BZ6975" s="8"/>
      <c r="CD6975" s="8"/>
    </row>
    <row r="6976" spans="73:82" ht="15.75">
      <c r="BU6976" s="8"/>
      <c r="BZ6976" s="8"/>
      <c r="CD6976" s="8"/>
    </row>
    <row r="6977" spans="73:82" ht="15.75">
      <c r="BU6977" s="8"/>
      <c r="BZ6977" s="8"/>
      <c r="CD6977" s="8"/>
    </row>
    <row r="6978" spans="73:82" ht="15.75">
      <c r="BU6978" s="8"/>
      <c r="BZ6978" s="8"/>
      <c r="CD6978" s="8"/>
    </row>
    <row r="6979" spans="73:82" ht="15.75">
      <c r="BU6979" s="8"/>
      <c r="BZ6979" s="8"/>
      <c r="CD6979" s="8"/>
    </row>
    <row r="6980" spans="73:82" ht="15.75">
      <c r="BU6980" s="8"/>
      <c r="BZ6980" s="8"/>
      <c r="CD6980" s="8"/>
    </row>
    <row r="6981" spans="73:82" ht="15.75">
      <c r="BU6981" s="8"/>
      <c r="BZ6981" s="8"/>
      <c r="CD6981" s="8"/>
    </row>
    <row r="6982" spans="73:82" ht="15.75">
      <c r="BU6982" s="8"/>
      <c r="BZ6982" s="8"/>
      <c r="CD6982" s="8"/>
    </row>
    <row r="6983" spans="73:82" ht="15.75">
      <c r="BU6983" s="8"/>
      <c r="BZ6983" s="8"/>
      <c r="CD6983" s="8"/>
    </row>
    <row r="6984" spans="73:82" ht="15.75">
      <c r="BU6984" s="8"/>
      <c r="BZ6984" s="8"/>
      <c r="CD6984" s="8"/>
    </row>
    <row r="6985" spans="73:82" ht="15.75">
      <c r="BU6985" s="8"/>
      <c r="BZ6985" s="8"/>
      <c r="CD6985" s="8"/>
    </row>
    <row r="6986" spans="73:82" ht="15.75">
      <c r="BU6986" s="8"/>
      <c r="BZ6986" s="8"/>
      <c r="CD6986" s="8"/>
    </row>
    <row r="6987" spans="73:82" ht="15.75">
      <c r="BU6987" s="8"/>
      <c r="BZ6987" s="8"/>
      <c r="CD6987" s="8"/>
    </row>
    <row r="6988" spans="73:82" ht="15.75">
      <c r="BU6988" s="8"/>
      <c r="BZ6988" s="8"/>
      <c r="CD6988" s="8"/>
    </row>
    <row r="6989" spans="73:82" ht="15.75">
      <c r="BU6989" s="8"/>
      <c r="BZ6989" s="8"/>
      <c r="CD6989" s="8"/>
    </row>
    <row r="6990" spans="73:82" ht="15.75">
      <c r="BU6990" s="8"/>
      <c r="BZ6990" s="8"/>
      <c r="CD6990" s="8"/>
    </row>
    <row r="6991" spans="73:82" ht="15.75">
      <c r="BU6991" s="8"/>
      <c r="BZ6991" s="8"/>
      <c r="CD6991" s="8"/>
    </row>
    <row r="6992" spans="73:82" ht="15.75">
      <c r="BU6992" s="8"/>
      <c r="BZ6992" s="8"/>
      <c r="CD6992" s="8"/>
    </row>
    <row r="6993" spans="73:82" ht="15.75">
      <c r="BU6993" s="8"/>
      <c r="BZ6993" s="8"/>
      <c r="CD6993" s="8"/>
    </row>
    <row r="6994" spans="73:82" ht="15.75">
      <c r="BU6994" s="8"/>
      <c r="BZ6994" s="8"/>
      <c r="CD6994" s="8"/>
    </row>
    <row r="6995" spans="73:82" ht="15.75">
      <c r="BU6995" s="8"/>
      <c r="BZ6995" s="8"/>
      <c r="CD6995" s="8"/>
    </row>
    <row r="6996" spans="73:82" ht="15.75">
      <c r="BU6996" s="8"/>
      <c r="BZ6996" s="8"/>
      <c r="CD6996" s="8"/>
    </row>
    <row r="6997" spans="73:82" ht="15.75">
      <c r="BU6997" s="8"/>
      <c r="BZ6997" s="8"/>
      <c r="CD6997" s="8"/>
    </row>
    <row r="6998" spans="73:82" ht="15.75">
      <c r="BU6998" s="8"/>
      <c r="BZ6998" s="8"/>
      <c r="CD6998" s="8"/>
    </row>
    <row r="6999" spans="73:82" ht="15.75">
      <c r="BU6999" s="8"/>
      <c r="BZ6999" s="8"/>
      <c r="CD6999" s="8"/>
    </row>
    <row r="7000" spans="73:82" ht="15.75">
      <c r="BU7000" s="8"/>
      <c r="BZ7000" s="8"/>
      <c r="CD7000" s="8"/>
    </row>
    <row r="7001" spans="73:82" ht="15.75">
      <c r="BU7001" s="8"/>
      <c r="BZ7001" s="8"/>
      <c r="CD7001" s="8"/>
    </row>
    <row r="7002" spans="73:82" ht="15.75">
      <c r="BU7002" s="8"/>
      <c r="BZ7002" s="8"/>
      <c r="CD7002" s="8"/>
    </row>
    <row r="7003" spans="73:82" ht="15.75">
      <c r="BU7003" s="8"/>
      <c r="BZ7003" s="8"/>
      <c r="CD7003" s="8"/>
    </row>
    <row r="7004" spans="73:82" ht="15.75">
      <c r="BU7004" s="8"/>
      <c r="BZ7004" s="8"/>
      <c r="CD7004" s="8"/>
    </row>
    <row r="7005" spans="73:82" ht="15.75">
      <c r="BU7005" s="8"/>
      <c r="BZ7005" s="8"/>
      <c r="CD7005" s="8"/>
    </row>
    <row r="7006" spans="73:82" ht="15.75">
      <c r="BU7006" s="8"/>
      <c r="BZ7006" s="8"/>
      <c r="CD7006" s="8"/>
    </row>
    <row r="7007" spans="73:82" ht="15.75">
      <c r="BU7007" s="8"/>
      <c r="BZ7007" s="8"/>
      <c r="CD7007" s="8"/>
    </row>
    <row r="7008" spans="73:82" ht="15.75">
      <c r="BU7008" s="8"/>
      <c r="BZ7008" s="8"/>
      <c r="CD7008" s="8"/>
    </row>
    <row r="7009" spans="73:82" ht="15.75">
      <c r="BU7009" s="8"/>
      <c r="BZ7009" s="8"/>
      <c r="CD7009" s="8"/>
    </row>
    <row r="7010" spans="73:82" ht="15.75">
      <c r="BU7010" s="8"/>
      <c r="BZ7010" s="8"/>
      <c r="CD7010" s="8"/>
    </row>
    <row r="7011" spans="73:82" ht="15.75">
      <c r="BU7011" s="8"/>
      <c r="BZ7011" s="8"/>
      <c r="CD7011" s="8"/>
    </row>
    <row r="7012" spans="73:82" ht="15.75">
      <c r="BU7012" s="8"/>
      <c r="BZ7012" s="8"/>
      <c r="CD7012" s="8"/>
    </row>
    <row r="7013" spans="73:82" ht="15.75">
      <c r="BU7013" s="8"/>
      <c r="BZ7013" s="8"/>
      <c r="CD7013" s="8"/>
    </row>
    <row r="7014" spans="73:82" ht="15.75">
      <c r="BU7014" s="8"/>
      <c r="BZ7014" s="8"/>
      <c r="CD7014" s="8"/>
    </row>
    <row r="7015" spans="73:82" ht="15.75">
      <c r="BU7015" s="8"/>
      <c r="BZ7015" s="8"/>
      <c r="CD7015" s="8"/>
    </row>
    <row r="7016" spans="73:82" ht="15.75">
      <c r="BU7016" s="8"/>
      <c r="BZ7016" s="8"/>
      <c r="CD7016" s="8"/>
    </row>
    <row r="7017" spans="73:82" ht="15.75">
      <c r="BU7017" s="8"/>
      <c r="BZ7017" s="8"/>
      <c r="CD7017" s="8"/>
    </row>
    <row r="7018" spans="73:82" ht="15.75">
      <c r="BU7018" s="8"/>
      <c r="BZ7018" s="8"/>
      <c r="CD7018" s="8"/>
    </row>
    <row r="7019" spans="73:82" ht="15.75">
      <c r="BU7019" s="8"/>
      <c r="BZ7019" s="8"/>
      <c r="CD7019" s="8"/>
    </row>
    <row r="7020" spans="73:82" ht="15.75">
      <c r="BU7020" s="8"/>
      <c r="BZ7020" s="8"/>
      <c r="CD7020" s="8"/>
    </row>
    <row r="7021" spans="73:82" ht="15.75">
      <c r="BU7021" s="8"/>
      <c r="BZ7021" s="8"/>
      <c r="CD7021" s="8"/>
    </row>
    <row r="7022" spans="73:82" ht="15.75">
      <c r="BU7022" s="8"/>
      <c r="BZ7022" s="8"/>
      <c r="CD7022" s="8"/>
    </row>
    <row r="7023" spans="73:82" ht="15.75">
      <c r="BU7023" s="8"/>
      <c r="BZ7023" s="8"/>
      <c r="CD7023" s="8"/>
    </row>
    <row r="7024" spans="73:82" ht="15.75">
      <c r="BU7024" s="8"/>
      <c r="BZ7024" s="8"/>
      <c r="CD7024" s="8"/>
    </row>
    <row r="7025" spans="73:82" ht="15.75">
      <c r="BU7025" s="8"/>
      <c r="BZ7025" s="8"/>
      <c r="CD7025" s="8"/>
    </row>
    <row r="7026" spans="73:82" ht="15.75">
      <c r="BU7026" s="8"/>
      <c r="BZ7026" s="8"/>
      <c r="CD7026" s="8"/>
    </row>
    <row r="7027" spans="73:82" ht="15.75">
      <c r="BU7027" s="8"/>
      <c r="BZ7027" s="8"/>
      <c r="CD7027" s="8"/>
    </row>
    <row r="7028" spans="73:82" ht="15.75">
      <c r="BU7028" s="8"/>
      <c r="BZ7028" s="8"/>
      <c r="CD7028" s="8"/>
    </row>
    <row r="7029" spans="73:82" ht="15.75">
      <c r="BU7029" s="8"/>
      <c r="BZ7029" s="8"/>
      <c r="CD7029" s="8"/>
    </row>
    <row r="7030" spans="73:82" ht="15.75">
      <c r="BU7030" s="8"/>
      <c r="BZ7030" s="8"/>
      <c r="CD7030" s="8"/>
    </row>
    <row r="7031" spans="73:82" ht="15.75">
      <c r="BU7031" s="8"/>
      <c r="BZ7031" s="8"/>
      <c r="CD7031" s="8"/>
    </row>
    <row r="7032" spans="73:82" ht="15.75">
      <c r="BU7032" s="8"/>
      <c r="BZ7032" s="8"/>
      <c r="CD7032" s="8"/>
    </row>
    <row r="7033" spans="73:82" ht="15.75">
      <c r="BU7033" s="8"/>
      <c r="BZ7033" s="8"/>
      <c r="CD7033" s="8"/>
    </row>
    <row r="7034" spans="73:82" ht="15.75">
      <c r="BU7034" s="8"/>
      <c r="BZ7034" s="8"/>
      <c r="CD7034" s="8"/>
    </row>
    <row r="7035" spans="73:82" ht="15.75">
      <c r="BU7035" s="8"/>
      <c r="BZ7035" s="8"/>
      <c r="CD7035" s="8"/>
    </row>
    <row r="7036" spans="73:82" ht="15.75">
      <c r="BU7036" s="8"/>
      <c r="BZ7036" s="8"/>
      <c r="CD7036" s="8"/>
    </row>
    <row r="7037" spans="73:82" ht="15.75">
      <c r="BU7037" s="8"/>
      <c r="BZ7037" s="8"/>
      <c r="CD7037" s="8"/>
    </row>
    <row r="7038" spans="73:82" ht="15.75">
      <c r="BU7038" s="8"/>
      <c r="BZ7038" s="8"/>
      <c r="CD7038" s="8"/>
    </row>
    <row r="7039" spans="73:82" ht="15.75">
      <c r="BU7039" s="8"/>
      <c r="BZ7039" s="8"/>
      <c r="CD7039" s="8"/>
    </row>
    <row r="7040" spans="73:82" ht="15.75">
      <c r="BU7040" s="8"/>
      <c r="BZ7040" s="8"/>
      <c r="CD7040" s="8"/>
    </row>
    <row r="7041" spans="73:82" ht="15.75">
      <c r="BU7041" s="8"/>
      <c r="BZ7041" s="8"/>
      <c r="CD7041" s="8"/>
    </row>
    <row r="7042" spans="73:82" ht="15.75">
      <c r="BU7042" s="8"/>
      <c r="BZ7042" s="8"/>
      <c r="CD7042" s="8"/>
    </row>
    <row r="7043" spans="73:82" ht="15.75">
      <c r="BU7043" s="8"/>
      <c r="BZ7043" s="8"/>
      <c r="CD7043" s="8"/>
    </row>
    <row r="7044" spans="73:82" ht="15.75">
      <c r="BU7044" s="8"/>
      <c r="BZ7044" s="8"/>
      <c r="CD7044" s="8"/>
    </row>
    <row r="7045" spans="73:82" ht="15.75">
      <c r="BU7045" s="8"/>
      <c r="BZ7045" s="8"/>
      <c r="CD7045" s="8"/>
    </row>
    <row r="7046" spans="73:82" ht="15.75">
      <c r="BU7046" s="8"/>
      <c r="BZ7046" s="8"/>
      <c r="CD7046" s="8"/>
    </row>
    <row r="7047" spans="73:82" ht="15.75">
      <c r="BU7047" s="8"/>
      <c r="BZ7047" s="8"/>
      <c r="CD7047" s="8"/>
    </row>
    <row r="7048" spans="73:82" ht="15.75">
      <c r="BU7048" s="8"/>
      <c r="BZ7048" s="8"/>
      <c r="CD7048" s="8"/>
    </row>
    <row r="7049" spans="73:82" ht="15.75">
      <c r="BU7049" s="8"/>
      <c r="BZ7049" s="8"/>
      <c r="CD7049" s="8"/>
    </row>
    <row r="7050" spans="73:82" ht="15.75">
      <c r="BU7050" s="8"/>
      <c r="BZ7050" s="8"/>
      <c r="CD7050" s="8"/>
    </row>
    <row r="7051" spans="73:82" ht="15.75">
      <c r="BU7051" s="8"/>
      <c r="BZ7051" s="8"/>
      <c r="CD7051" s="8"/>
    </row>
    <row r="7052" spans="73:82" ht="15.75">
      <c r="BU7052" s="8"/>
      <c r="BZ7052" s="8"/>
      <c r="CD7052" s="8"/>
    </row>
    <row r="7053" spans="73:82" ht="15.75">
      <c r="BU7053" s="8"/>
      <c r="BZ7053" s="8"/>
      <c r="CD7053" s="8"/>
    </row>
    <row r="7054" spans="73:82" ht="15.75">
      <c r="BU7054" s="8"/>
      <c r="BZ7054" s="8"/>
      <c r="CD7054" s="8"/>
    </row>
    <row r="7055" spans="73:82" ht="15.75">
      <c r="BU7055" s="8"/>
      <c r="BZ7055" s="8"/>
      <c r="CD7055" s="8"/>
    </row>
    <row r="7056" spans="73:82" ht="15.75">
      <c r="BU7056" s="8"/>
      <c r="BZ7056" s="8"/>
      <c r="CD7056" s="8"/>
    </row>
    <row r="7057" spans="73:82" ht="15.75">
      <c r="BU7057" s="8"/>
      <c r="BZ7057" s="8"/>
      <c r="CD7057" s="8"/>
    </row>
    <row r="7058" spans="73:82" ht="15.75">
      <c r="BU7058" s="8"/>
      <c r="BZ7058" s="8"/>
      <c r="CD7058" s="8"/>
    </row>
    <row r="7059" spans="73:82" ht="15.75">
      <c r="BU7059" s="8"/>
      <c r="BZ7059" s="8"/>
      <c r="CD7059" s="8"/>
    </row>
    <row r="7060" spans="73:82" ht="15.75">
      <c r="BU7060" s="8"/>
      <c r="BZ7060" s="8"/>
      <c r="CD7060" s="8"/>
    </row>
    <row r="7061" spans="73:82" ht="15.75">
      <c r="BU7061" s="8"/>
      <c r="BZ7061" s="8"/>
      <c r="CD7061" s="8"/>
    </row>
    <row r="7062" spans="73:82" ht="15.75">
      <c r="BU7062" s="8"/>
      <c r="BZ7062" s="8"/>
      <c r="CD7062" s="8"/>
    </row>
    <row r="7063" spans="73:82" ht="15.75">
      <c r="BU7063" s="8"/>
      <c r="BZ7063" s="8"/>
      <c r="CD7063" s="8"/>
    </row>
    <row r="7064" spans="73:82" ht="15.75">
      <c r="BU7064" s="8"/>
      <c r="BZ7064" s="8"/>
      <c r="CD7064" s="8"/>
    </row>
    <row r="7065" spans="73:82" ht="15.75">
      <c r="BU7065" s="8"/>
      <c r="BZ7065" s="8"/>
      <c r="CD7065" s="8"/>
    </row>
    <row r="7066" spans="73:82" ht="15.75">
      <c r="BU7066" s="8"/>
      <c r="BZ7066" s="8"/>
      <c r="CD7066" s="8"/>
    </row>
    <row r="7067" spans="73:82" ht="15.75">
      <c r="BU7067" s="8"/>
      <c r="BZ7067" s="8"/>
      <c r="CD7067" s="8"/>
    </row>
    <row r="7068" spans="73:82" ht="15.75">
      <c r="BU7068" s="8"/>
      <c r="BZ7068" s="8"/>
      <c r="CD7068" s="8"/>
    </row>
    <row r="7069" spans="73:82" ht="15.75">
      <c r="BU7069" s="8"/>
      <c r="BZ7069" s="8"/>
      <c r="CD7069" s="8"/>
    </row>
    <row r="7070" spans="73:82" ht="15.75">
      <c r="BU7070" s="8"/>
      <c r="BZ7070" s="8"/>
      <c r="CD7070" s="8"/>
    </row>
    <row r="7071" spans="73:82" ht="15.75">
      <c r="BU7071" s="8"/>
      <c r="BZ7071" s="8"/>
      <c r="CD7071" s="8"/>
    </row>
    <row r="7072" spans="73:82" ht="15.75">
      <c r="BU7072" s="8"/>
      <c r="BZ7072" s="8"/>
      <c r="CD7072" s="8"/>
    </row>
    <row r="7073" spans="73:82" ht="15.75">
      <c r="BU7073" s="8"/>
      <c r="BZ7073" s="8"/>
      <c r="CD7073" s="8"/>
    </row>
    <row r="7074" spans="73:82" ht="15.75">
      <c r="BU7074" s="8"/>
      <c r="BZ7074" s="8"/>
      <c r="CD7074" s="8"/>
    </row>
    <row r="7075" spans="73:82" ht="15.75">
      <c r="BU7075" s="8"/>
      <c r="BZ7075" s="8"/>
      <c r="CD7075" s="8"/>
    </row>
    <row r="7076" spans="73:82" ht="15.75">
      <c r="BU7076" s="8"/>
      <c r="BZ7076" s="8"/>
      <c r="CD7076" s="8"/>
    </row>
    <row r="7077" spans="73:82" ht="15.75">
      <c r="BU7077" s="8"/>
      <c r="BZ7077" s="8"/>
      <c r="CD7077" s="8"/>
    </row>
    <row r="7078" spans="73:82" ht="15.75">
      <c r="BU7078" s="8"/>
      <c r="BZ7078" s="8"/>
      <c r="CD7078" s="8"/>
    </row>
    <row r="7079" spans="73:82" ht="15.75">
      <c r="BU7079" s="8"/>
      <c r="BZ7079" s="8"/>
      <c r="CD7079" s="8"/>
    </row>
    <row r="7080" spans="73:82" ht="15.75">
      <c r="BU7080" s="8"/>
      <c r="BZ7080" s="8"/>
      <c r="CD7080" s="8"/>
    </row>
    <row r="7081" spans="73:82" ht="15.75">
      <c r="BU7081" s="8"/>
      <c r="BZ7081" s="8"/>
      <c r="CD7081" s="8"/>
    </row>
    <row r="7082" spans="73:82" ht="15.75">
      <c r="BU7082" s="8"/>
      <c r="BZ7082" s="8"/>
      <c r="CD7082" s="8"/>
    </row>
    <row r="7083" spans="73:82" ht="15.75">
      <c r="BU7083" s="8"/>
      <c r="BZ7083" s="8"/>
      <c r="CD7083" s="8"/>
    </row>
    <row r="7084" spans="73:82" ht="15.75">
      <c r="BU7084" s="8"/>
      <c r="BZ7084" s="8"/>
      <c r="CD7084" s="8"/>
    </row>
    <row r="7085" spans="73:82" ht="15.75">
      <c r="BU7085" s="8"/>
      <c r="BZ7085" s="8"/>
      <c r="CD7085" s="8"/>
    </row>
    <row r="7086" spans="73:82" ht="15.75">
      <c r="BU7086" s="8"/>
      <c r="BZ7086" s="8"/>
      <c r="CD7086" s="8"/>
    </row>
    <row r="7087" spans="73:82" ht="15.75">
      <c r="BU7087" s="8"/>
      <c r="BZ7087" s="8"/>
      <c r="CD7087" s="8"/>
    </row>
    <row r="7088" spans="73:82" ht="15.75">
      <c r="BU7088" s="8"/>
      <c r="BZ7088" s="8"/>
      <c r="CD7088" s="8"/>
    </row>
    <row r="7089" spans="73:82" ht="15.75">
      <c r="BU7089" s="8"/>
      <c r="BZ7089" s="8"/>
      <c r="CD7089" s="8"/>
    </row>
    <row r="7090" spans="73:82" ht="15.75">
      <c r="BU7090" s="8"/>
      <c r="BZ7090" s="8"/>
      <c r="CD7090" s="8"/>
    </row>
    <row r="7091" spans="73:82" ht="15.75">
      <c r="BU7091" s="8"/>
      <c r="BZ7091" s="8"/>
      <c r="CD7091" s="8"/>
    </row>
    <row r="7092" spans="73:82" ht="15.75">
      <c r="BU7092" s="8"/>
      <c r="BZ7092" s="8"/>
      <c r="CD7092" s="8"/>
    </row>
    <row r="7093" spans="73:82" ht="15.75">
      <c r="BU7093" s="8"/>
      <c r="BZ7093" s="8"/>
      <c r="CD7093" s="8"/>
    </row>
    <row r="7094" spans="73:82" ht="15.75">
      <c r="BU7094" s="8"/>
      <c r="BZ7094" s="8"/>
      <c r="CD7094" s="8"/>
    </row>
    <row r="7095" spans="73:82" ht="15.75">
      <c r="BU7095" s="8"/>
      <c r="BZ7095" s="8"/>
      <c r="CD7095" s="8"/>
    </row>
    <row r="7096" spans="73:82" ht="15.75">
      <c r="BU7096" s="8"/>
      <c r="BZ7096" s="8"/>
      <c r="CD7096" s="8"/>
    </row>
    <row r="7097" spans="73:82" ht="15.75">
      <c r="BU7097" s="8"/>
      <c r="BZ7097" s="8"/>
      <c r="CD7097" s="8"/>
    </row>
    <row r="7098" spans="73:82" ht="15.75">
      <c r="BU7098" s="8"/>
      <c r="BZ7098" s="8"/>
      <c r="CD7098" s="8"/>
    </row>
    <row r="7099" spans="73:82" ht="15.75">
      <c r="BU7099" s="8"/>
      <c r="BZ7099" s="8"/>
      <c r="CD7099" s="8"/>
    </row>
    <row r="7100" spans="73:82" ht="15.75">
      <c r="BU7100" s="8"/>
      <c r="BZ7100" s="8"/>
      <c r="CD7100" s="8"/>
    </row>
    <row r="7101" spans="73:82" ht="15.75">
      <c r="BU7101" s="8"/>
      <c r="BZ7101" s="8"/>
      <c r="CD7101" s="8"/>
    </row>
    <row r="7102" spans="73:82" ht="15.75">
      <c r="BU7102" s="8"/>
      <c r="BZ7102" s="8"/>
      <c r="CD7102" s="8"/>
    </row>
    <row r="7103" spans="73:82" ht="15.75">
      <c r="BU7103" s="8"/>
      <c r="BZ7103" s="8"/>
      <c r="CD7103" s="8"/>
    </row>
    <row r="7104" spans="73:82" ht="15.75">
      <c r="BU7104" s="8"/>
      <c r="BZ7104" s="8"/>
      <c r="CD7104" s="8"/>
    </row>
    <row r="7105" spans="73:82" ht="15.75">
      <c r="BU7105" s="8"/>
      <c r="BZ7105" s="8"/>
      <c r="CD7105" s="8"/>
    </row>
    <row r="7106" spans="73:82" ht="15.75">
      <c r="BU7106" s="8"/>
      <c r="BZ7106" s="8"/>
      <c r="CD7106" s="8"/>
    </row>
    <row r="7107" spans="73:82" ht="15.75">
      <c r="BU7107" s="8"/>
      <c r="BZ7107" s="8"/>
      <c r="CD7107" s="8"/>
    </row>
    <row r="7108" spans="73:82" ht="15.75">
      <c r="BU7108" s="8"/>
      <c r="BZ7108" s="8"/>
      <c r="CD7108" s="8"/>
    </row>
    <row r="7109" spans="73:82" ht="15.75">
      <c r="BU7109" s="8"/>
      <c r="BZ7109" s="8"/>
      <c r="CD7109" s="8"/>
    </row>
    <row r="7110" spans="73:82" ht="15.75">
      <c r="BU7110" s="8"/>
      <c r="BZ7110" s="8"/>
      <c r="CD7110" s="8"/>
    </row>
    <row r="7111" spans="73:82" ht="15.75">
      <c r="BU7111" s="8"/>
      <c r="BZ7111" s="8"/>
      <c r="CD7111" s="8"/>
    </row>
    <row r="7112" spans="73:82" ht="15.75">
      <c r="BU7112" s="8"/>
      <c r="BZ7112" s="8"/>
      <c r="CD7112" s="8"/>
    </row>
    <row r="7113" spans="73:82" ht="15.75">
      <c r="BU7113" s="8"/>
      <c r="BZ7113" s="8"/>
      <c r="CD7113" s="8"/>
    </row>
    <row r="7114" spans="73:82" ht="15.75">
      <c r="BU7114" s="8"/>
      <c r="BZ7114" s="8"/>
      <c r="CD7114" s="8"/>
    </row>
    <row r="7115" spans="73:82" ht="15.75">
      <c r="BU7115" s="8"/>
      <c r="BZ7115" s="8"/>
      <c r="CD7115" s="8"/>
    </row>
    <row r="7116" spans="73:82" ht="15.75">
      <c r="BU7116" s="8"/>
      <c r="BZ7116" s="8"/>
      <c r="CD7116" s="8"/>
    </row>
    <row r="7117" spans="73:82" ht="15.75">
      <c r="BU7117" s="8"/>
      <c r="BZ7117" s="8"/>
      <c r="CD7117" s="8"/>
    </row>
    <row r="7118" spans="73:82" ht="15.75">
      <c r="BU7118" s="8"/>
      <c r="BZ7118" s="8"/>
      <c r="CD7118" s="8"/>
    </row>
    <row r="7119" spans="73:82" ht="15.75">
      <c r="BU7119" s="8"/>
      <c r="BZ7119" s="8"/>
      <c r="CD7119" s="8"/>
    </row>
    <row r="7120" spans="73:82" ht="15.75">
      <c r="BU7120" s="8"/>
      <c r="BZ7120" s="8"/>
      <c r="CD7120" s="8"/>
    </row>
    <row r="7121" spans="73:82" ht="15.75">
      <c r="BU7121" s="8"/>
      <c r="BZ7121" s="8"/>
      <c r="CD7121" s="8"/>
    </row>
    <row r="7122" spans="73:82" ht="15.75">
      <c r="BU7122" s="8"/>
      <c r="BZ7122" s="8"/>
      <c r="CD7122" s="8"/>
    </row>
    <row r="7123" spans="73:82" ht="15.75">
      <c r="BU7123" s="8"/>
      <c r="BZ7123" s="8"/>
      <c r="CD7123" s="8"/>
    </row>
    <row r="7124" spans="73:82" ht="15.75">
      <c r="BU7124" s="8"/>
      <c r="BZ7124" s="8"/>
      <c r="CD7124" s="8"/>
    </row>
    <row r="7125" spans="73:82" ht="15.75">
      <c r="BU7125" s="8"/>
      <c r="BZ7125" s="8"/>
      <c r="CD7125" s="8"/>
    </row>
    <row r="7126" spans="73:82" ht="15.75">
      <c r="BU7126" s="8"/>
      <c r="BZ7126" s="8"/>
      <c r="CD7126" s="8"/>
    </row>
    <row r="7127" spans="73:82" ht="15.75">
      <c r="BU7127" s="8"/>
      <c r="BZ7127" s="8"/>
      <c r="CD7127" s="8"/>
    </row>
    <row r="7128" spans="73:82" ht="15.75">
      <c r="BU7128" s="8"/>
      <c r="BZ7128" s="8"/>
      <c r="CD7128" s="8"/>
    </row>
    <row r="7129" spans="73:82" ht="15.75">
      <c r="BU7129" s="8"/>
      <c r="BZ7129" s="8"/>
      <c r="CD7129" s="8"/>
    </row>
    <row r="7130" spans="73:82" ht="15.75">
      <c r="BU7130" s="8"/>
      <c r="BZ7130" s="8"/>
      <c r="CD7130" s="8"/>
    </row>
    <row r="7131" spans="73:82" ht="15.75">
      <c r="BU7131" s="8"/>
      <c r="BZ7131" s="8"/>
      <c r="CD7131" s="8"/>
    </row>
    <row r="7132" spans="73:82" ht="15.75">
      <c r="BU7132" s="8"/>
      <c r="BZ7132" s="8"/>
      <c r="CD7132" s="8"/>
    </row>
    <row r="7133" spans="73:82" ht="15.75">
      <c r="BU7133" s="8"/>
      <c r="BZ7133" s="8"/>
      <c r="CD7133" s="8"/>
    </row>
    <row r="7134" spans="73:82" ht="15.75">
      <c r="BU7134" s="8"/>
      <c r="BZ7134" s="8"/>
      <c r="CD7134" s="8"/>
    </row>
    <row r="7135" spans="73:82" ht="15.75">
      <c r="BU7135" s="8"/>
      <c r="BZ7135" s="8"/>
      <c r="CD7135" s="8"/>
    </row>
    <row r="7136" spans="73:82" ht="15.75">
      <c r="BU7136" s="8"/>
      <c r="BZ7136" s="8"/>
      <c r="CD7136" s="8"/>
    </row>
    <row r="7137" spans="73:82" ht="15.75">
      <c r="BU7137" s="8"/>
      <c r="BZ7137" s="8"/>
      <c r="CD7137" s="8"/>
    </row>
    <row r="7138" spans="73:82" ht="15.75">
      <c r="BU7138" s="8"/>
      <c r="BZ7138" s="8"/>
      <c r="CD7138" s="8"/>
    </row>
    <row r="7139" spans="73:82" ht="15.75">
      <c r="BU7139" s="8"/>
      <c r="BZ7139" s="8"/>
      <c r="CD7139" s="8"/>
    </row>
    <row r="7140" spans="73:82" ht="15.75">
      <c r="BU7140" s="8"/>
      <c r="BZ7140" s="8"/>
      <c r="CD7140" s="8"/>
    </row>
    <row r="7141" spans="73:82" ht="15.75">
      <c r="BU7141" s="8"/>
      <c r="BZ7141" s="8"/>
      <c r="CD7141" s="8"/>
    </row>
    <row r="7142" spans="73:82" ht="15.75">
      <c r="BU7142" s="8"/>
      <c r="BZ7142" s="8"/>
      <c r="CD7142" s="8"/>
    </row>
    <row r="7143" spans="73:82" ht="15.75">
      <c r="BU7143" s="8"/>
      <c r="BZ7143" s="8"/>
      <c r="CD7143" s="8"/>
    </row>
    <row r="7144" spans="73:82" ht="15.75">
      <c r="BU7144" s="8"/>
      <c r="BZ7144" s="8"/>
      <c r="CD7144" s="8"/>
    </row>
    <row r="7145" spans="73:82" ht="15.75">
      <c r="BU7145" s="8"/>
      <c r="BZ7145" s="8"/>
      <c r="CD7145" s="8"/>
    </row>
    <row r="7146" spans="73:82" ht="15.75">
      <c r="BU7146" s="8"/>
      <c r="BZ7146" s="8"/>
      <c r="CD7146" s="8"/>
    </row>
    <row r="7147" spans="73:82" ht="15.75">
      <c r="BU7147" s="8"/>
      <c r="BZ7147" s="8"/>
      <c r="CD7147" s="8"/>
    </row>
    <row r="7148" spans="73:82" ht="15.75">
      <c r="BU7148" s="8"/>
      <c r="BZ7148" s="8"/>
      <c r="CD7148" s="8"/>
    </row>
    <row r="7149" spans="73:82" ht="15.75">
      <c r="BU7149" s="8"/>
      <c r="BZ7149" s="8"/>
      <c r="CD7149" s="8"/>
    </row>
    <row r="7150" spans="73:82" ht="15.75">
      <c r="BU7150" s="8"/>
      <c r="BZ7150" s="8"/>
      <c r="CD7150" s="8"/>
    </row>
    <row r="7151" spans="73:82" ht="15.75">
      <c r="BU7151" s="8"/>
      <c r="BZ7151" s="8"/>
      <c r="CD7151" s="8"/>
    </row>
    <row r="7152" spans="73:82" ht="15.75">
      <c r="BU7152" s="8"/>
      <c r="BZ7152" s="8"/>
      <c r="CD7152" s="8"/>
    </row>
    <row r="7153" spans="73:82" ht="15.75">
      <c r="BU7153" s="8"/>
      <c r="BZ7153" s="8"/>
      <c r="CD7153" s="8"/>
    </row>
    <row r="7154" spans="73:82" ht="15.75">
      <c r="BU7154" s="8"/>
      <c r="BZ7154" s="8"/>
      <c r="CD7154" s="8"/>
    </row>
    <row r="7155" spans="73:82" ht="15.75">
      <c r="BU7155" s="8"/>
      <c r="BZ7155" s="8"/>
      <c r="CD7155" s="8"/>
    </row>
    <row r="7156" spans="73:82" ht="15.75">
      <c r="BU7156" s="8"/>
      <c r="BZ7156" s="8"/>
      <c r="CD7156" s="8"/>
    </row>
    <row r="7157" spans="73:82" ht="15.75">
      <c r="BU7157" s="8"/>
      <c r="BZ7157" s="8"/>
      <c r="CD7157" s="8"/>
    </row>
    <row r="7158" spans="73:82" ht="15.75">
      <c r="BU7158" s="8"/>
      <c r="BZ7158" s="8"/>
      <c r="CD7158" s="8"/>
    </row>
    <row r="7159" spans="73:82" ht="15.75">
      <c r="BU7159" s="8"/>
      <c r="BZ7159" s="8"/>
      <c r="CD7159" s="8"/>
    </row>
    <row r="7160" spans="73:82" ht="15.75">
      <c r="BU7160" s="8"/>
      <c r="BZ7160" s="8"/>
      <c r="CD7160" s="8"/>
    </row>
    <row r="7161" spans="73:82" ht="15.75">
      <c r="BU7161" s="8"/>
      <c r="BZ7161" s="8"/>
      <c r="CD7161" s="8"/>
    </row>
    <row r="7162" spans="73:82" ht="15.75">
      <c r="BU7162" s="8"/>
      <c r="BZ7162" s="8"/>
      <c r="CD7162" s="8"/>
    </row>
    <row r="7163" spans="73:82" ht="15.75">
      <c r="BU7163" s="8"/>
      <c r="BZ7163" s="8"/>
      <c r="CD7163" s="8"/>
    </row>
    <row r="7164" spans="73:82" ht="15.75">
      <c r="BU7164" s="8"/>
      <c r="BZ7164" s="8"/>
      <c r="CD7164" s="8"/>
    </row>
    <row r="7165" spans="73:82" ht="15.75">
      <c r="BU7165" s="8"/>
      <c r="BZ7165" s="8"/>
      <c r="CD7165" s="8"/>
    </row>
    <row r="7166" spans="73:82" ht="15.75">
      <c r="BU7166" s="8"/>
      <c r="BZ7166" s="8"/>
      <c r="CD7166" s="8"/>
    </row>
    <row r="7167" spans="73:82" ht="15.75">
      <c r="BU7167" s="8"/>
      <c r="BZ7167" s="8"/>
      <c r="CD7167" s="8"/>
    </row>
    <row r="7168" spans="73:82" ht="15.75">
      <c r="BU7168" s="8"/>
      <c r="BZ7168" s="8"/>
      <c r="CD7168" s="8"/>
    </row>
    <row r="7169" spans="73:82" ht="15.75">
      <c r="BU7169" s="8"/>
      <c r="BZ7169" s="8"/>
      <c r="CD7169" s="8"/>
    </row>
    <row r="7170" spans="73:82" ht="15.75">
      <c r="BU7170" s="8"/>
      <c r="BZ7170" s="8"/>
      <c r="CD7170" s="8"/>
    </row>
    <row r="7171" spans="73:82" ht="15.75">
      <c r="BU7171" s="8"/>
      <c r="BZ7171" s="8"/>
      <c r="CD7171" s="8"/>
    </row>
    <row r="7172" spans="73:82" ht="15.75">
      <c r="BU7172" s="8"/>
      <c r="BZ7172" s="8"/>
      <c r="CD7172" s="8"/>
    </row>
    <row r="7173" spans="73:82" ht="15.75">
      <c r="BU7173" s="8"/>
      <c r="BZ7173" s="8"/>
      <c r="CD7173" s="8"/>
    </row>
    <row r="7174" spans="73:82" ht="15.75">
      <c r="BU7174" s="8"/>
      <c r="BZ7174" s="8"/>
      <c r="CD7174" s="8"/>
    </row>
    <row r="7175" spans="73:82" ht="15.75">
      <c r="BU7175" s="8"/>
      <c r="BZ7175" s="8"/>
      <c r="CD7175" s="8"/>
    </row>
    <row r="7176" spans="73:82" ht="15.75">
      <c r="BU7176" s="8"/>
      <c r="BZ7176" s="8"/>
      <c r="CD7176" s="8"/>
    </row>
    <row r="7177" spans="73:82" ht="15.75">
      <c r="BU7177" s="8"/>
      <c r="BZ7177" s="8"/>
      <c r="CD7177" s="8"/>
    </row>
    <row r="7178" spans="73:82" ht="15.75">
      <c r="BU7178" s="8"/>
      <c r="BZ7178" s="8"/>
      <c r="CD7178" s="8"/>
    </row>
    <row r="7179" spans="73:82" ht="15.75">
      <c r="BU7179" s="8"/>
      <c r="BZ7179" s="8"/>
      <c r="CD7179" s="8"/>
    </row>
    <row r="7180" spans="73:82" ht="15.75">
      <c r="BU7180" s="8"/>
      <c r="BZ7180" s="8"/>
      <c r="CD7180" s="8"/>
    </row>
    <row r="7181" spans="73:82" ht="15.75">
      <c r="BU7181" s="8"/>
      <c r="BZ7181" s="8"/>
      <c r="CD7181" s="8"/>
    </row>
    <row r="7182" spans="73:82" ht="15.75">
      <c r="BU7182" s="8"/>
      <c r="BZ7182" s="8"/>
      <c r="CD7182" s="8"/>
    </row>
    <row r="7183" spans="73:82" ht="15.75">
      <c r="BU7183" s="8"/>
      <c r="BZ7183" s="8"/>
      <c r="CD7183" s="8"/>
    </row>
    <row r="7184" spans="73:82" ht="15.75">
      <c r="BU7184" s="8"/>
      <c r="BZ7184" s="8"/>
      <c r="CD7184" s="8"/>
    </row>
    <row r="7185" spans="73:82" ht="15.75">
      <c r="BU7185" s="8"/>
      <c r="BZ7185" s="8"/>
      <c r="CD7185" s="8"/>
    </row>
    <row r="7186" spans="73:82" ht="15.75">
      <c r="BU7186" s="8"/>
      <c r="BZ7186" s="8"/>
      <c r="CD7186" s="8"/>
    </row>
    <row r="7187" spans="73:82" ht="15.75">
      <c r="BU7187" s="8"/>
      <c r="BZ7187" s="8"/>
      <c r="CD7187" s="8"/>
    </row>
    <row r="7188" spans="73:82" ht="15.75">
      <c r="BU7188" s="8"/>
      <c r="BZ7188" s="8"/>
      <c r="CD7188" s="8"/>
    </row>
    <row r="7189" spans="73:82" ht="15.75">
      <c r="BU7189" s="8"/>
      <c r="BZ7189" s="8"/>
      <c r="CD7189" s="8"/>
    </row>
    <row r="7190" spans="73:82" ht="15.75">
      <c r="BU7190" s="8"/>
      <c r="BZ7190" s="8"/>
      <c r="CD7190" s="8"/>
    </row>
    <row r="7191" spans="73:82" ht="15.75">
      <c r="BU7191" s="8"/>
      <c r="BZ7191" s="8"/>
      <c r="CD7191" s="8"/>
    </row>
    <row r="7192" spans="73:82" ht="15.75">
      <c r="BU7192" s="8"/>
      <c r="BZ7192" s="8"/>
      <c r="CD7192" s="8"/>
    </row>
    <row r="7193" spans="73:82" ht="15.75">
      <c r="BU7193" s="8"/>
      <c r="BZ7193" s="8"/>
      <c r="CD7193" s="8"/>
    </row>
    <row r="7194" spans="73:82" ht="15.75">
      <c r="BU7194" s="8"/>
      <c r="BZ7194" s="8"/>
      <c r="CD7194" s="8"/>
    </row>
    <row r="7195" spans="73:82" ht="15.75">
      <c r="BU7195" s="8"/>
      <c r="BZ7195" s="8"/>
      <c r="CD7195" s="8"/>
    </row>
    <row r="7196" spans="73:82" ht="15.75">
      <c r="BU7196" s="8"/>
      <c r="BZ7196" s="8"/>
      <c r="CD7196" s="8"/>
    </row>
    <row r="7197" spans="73:82" ht="15.75">
      <c r="BU7197" s="8"/>
      <c r="BZ7197" s="8"/>
      <c r="CD7197" s="8"/>
    </row>
    <row r="7198" spans="73:82" ht="15.75">
      <c r="BU7198" s="8"/>
      <c r="BZ7198" s="8"/>
      <c r="CD7198" s="8"/>
    </row>
    <row r="7199" spans="73:82" ht="15.75">
      <c r="BU7199" s="8"/>
      <c r="BZ7199" s="8"/>
      <c r="CD7199" s="8"/>
    </row>
    <row r="7200" spans="73:82" ht="15.75">
      <c r="BU7200" s="8"/>
      <c r="BZ7200" s="8"/>
      <c r="CD7200" s="8"/>
    </row>
    <row r="7201" spans="73:82" ht="15.75">
      <c r="BU7201" s="8"/>
      <c r="BZ7201" s="8"/>
      <c r="CD7201" s="8"/>
    </row>
    <row r="7202" spans="73:82" ht="15.75">
      <c r="BU7202" s="8"/>
      <c r="BZ7202" s="8"/>
      <c r="CD7202" s="8"/>
    </row>
    <row r="7203" spans="73:82" ht="15.75">
      <c r="BU7203" s="8"/>
      <c r="BZ7203" s="8"/>
      <c r="CD7203" s="8"/>
    </row>
    <row r="7204" spans="73:82" ht="15.75">
      <c r="BU7204" s="8"/>
      <c r="BZ7204" s="8"/>
      <c r="CD7204" s="8"/>
    </row>
    <row r="7205" spans="73:82" ht="15.75">
      <c r="BU7205" s="8"/>
      <c r="BZ7205" s="8"/>
      <c r="CD7205" s="8"/>
    </row>
    <row r="7206" spans="73:82" ht="15.75">
      <c r="BU7206" s="8"/>
      <c r="BZ7206" s="8"/>
      <c r="CD7206" s="8"/>
    </row>
    <row r="7207" spans="73:82" ht="15.75">
      <c r="BU7207" s="8"/>
      <c r="BZ7207" s="8"/>
      <c r="CD7207" s="8"/>
    </row>
    <row r="7208" spans="73:82" ht="15.75">
      <c r="BU7208" s="8"/>
      <c r="BZ7208" s="8"/>
      <c r="CD7208" s="8"/>
    </row>
    <row r="7209" spans="73:82" ht="15.75">
      <c r="BU7209" s="8"/>
      <c r="BZ7209" s="8"/>
      <c r="CD7209" s="8"/>
    </row>
    <row r="7210" spans="73:82" ht="15.75">
      <c r="BU7210" s="8"/>
      <c r="BZ7210" s="8"/>
      <c r="CD7210" s="8"/>
    </row>
    <row r="7211" spans="73:82" ht="15.75">
      <c r="BU7211" s="8"/>
      <c r="BZ7211" s="8"/>
      <c r="CD7211" s="8"/>
    </row>
    <row r="7212" spans="73:82" ht="15.75">
      <c r="BU7212" s="8"/>
      <c r="BZ7212" s="8"/>
      <c r="CD7212" s="8"/>
    </row>
    <row r="7213" spans="73:82" ht="15.75">
      <c r="BU7213" s="8"/>
      <c r="BZ7213" s="8"/>
      <c r="CD7213" s="8"/>
    </row>
    <row r="7214" spans="73:82" ht="15.75">
      <c r="BU7214" s="8"/>
      <c r="BZ7214" s="8"/>
      <c r="CD7214" s="8"/>
    </row>
    <row r="7215" spans="73:82" ht="15.75">
      <c r="BU7215" s="8"/>
      <c r="BZ7215" s="8"/>
      <c r="CD7215" s="8"/>
    </row>
    <row r="7216" spans="73:82" ht="15.75">
      <c r="BU7216" s="8"/>
      <c r="BZ7216" s="8"/>
      <c r="CD7216" s="8"/>
    </row>
    <row r="7217" spans="73:82" ht="15.75">
      <c r="BU7217" s="8"/>
      <c r="BZ7217" s="8"/>
      <c r="CD7217" s="8"/>
    </row>
    <row r="7218" spans="73:82" ht="15.75">
      <c r="BU7218" s="8"/>
      <c r="BZ7218" s="8"/>
      <c r="CD7218" s="8"/>
    </row>
    <row r="7219" spans="73:82" ht="15.75">
      <c r="BU7219" s="8"/>
      <c r="BZ7219" s="8"/>
      <c r="CD7219" s="8"/>
    </row>
    <row r="7220" spans="73:82" ht="15.75">
      <c r="BU7220" s="8"/>
      <c r="BZ7220" s="8"/>
      <c r="CD7220" s="8"/>
    </row>
    <row r="7221" spans="73:82" ht="15.75">
      <c r="BU7221" s="8"/>
      <c r="BZ7221" s="8"/>
      <c r="CD7221" s="8"/>
    </row>
    <row r="7222" spans="73:82" ht="15.75">
      <c r="BU7222" s="8"/>
      <c r="BZ7222" s="8"/>
      <c r="CD7222" s="8"/>
    </row>
    <row r="7223" spans="73:82" ht="15.75">
      <c r="BU7223" s="8"/>
      <c r="BZ7223" s="8"/>
      <c r="CD7223" s="8"/>
    </row>
    <row r="7224" spans="73:82" ht="15.75">
      <c r="BU7224" s="8"/>
      <c r="BZ7224" s="8"/>
      <c r="CD7224" s="8"/>
    </row>
    <row r="7225" spans="73:82" ht="15.75">
      <c r="BU7225" s="8"/>
      <c r="BZ7225" s="8"/>
      <c r="CD7225" s="8"/>
    </row>
    <row r="7226" spans="73:82" ht="15.75">
      <c r="BU7226" s="8"/>
      <c r="BZ7226" s="8"/>
      <c r="CD7226" s="8"/>
    </row>
    <row r="7227" spans="73:82" ht="15.75">
      <c r="BU7227" s="8"/>
      <c r="BZ7227" s="8"/>
      <c r="CD7227" s="8"/>
    </row>
    <row r="7228" spans="73:82" ht="15.75">
      <c r="BU7228" s="8"/>
      <c r="BZ7228" s="8"/>
      <c r="CD7228" s="8"/>
    </row>
    <row r="7229" spans="73:82" ht="15.75">
      <c r="BU7229" s="8"/>
      <c r="BZ7229" s="8"/>
      <c r="CD7229" s="8"/>
    </row>
    <row r="7230" spans="73:82" ht="15.75">
      <c r="BU7230" s="8"/>
      <c r="BZ7230" s="8"/>
      <c r="CD7230" s="8"/>
    </row>
    <row r="7231" spans="73:82" ht="15.75">
      <c r="BU7231" s="8"/>
      <c r="BZ7231" s="8"/>
      <c r="CD7231" s="8"/>
    </row>
    <row r="7232" spans="73:82" ht="15.75">
      <c r="BU7232" s="8"/>
      <c r="BZ7232" s="8"/>
      <c r="CD7232" s="8"/>
    </row>
    <row r="7233" spans="73:82" ht="15.75">
      <c r="BU7233" s="8"/>
      <c r="BZ7233" s="8"/>
      <c r="CD7233" s="8"/>
    </row>
    <row r="7234" spans="73:82" ht="15.75">
      <c r="BU7234" s="8"/>
      <c r="BZ7234" s="8"/>
      <c r="CD7234" s="8"/>
    </row>
    <row r="7235" spans="73:82" ht="15.75">
      <c r="BU7235" s="8"/>
      <c r="BZ7235" s="8"/>
      <c r="CD7235" s="8"/>
    </row>
    <row r="7236" spans="73:82" ht="15.75">
      <c r="BU7236" s="8"/>
      <c r="BZ7236" s="8"/>
      <c r="CD7236" s="8"/>
    </row>
    <row r="7237" spans="73:82" ht="15.75">
      <c r="BU7237" s="8"/>
      <c r="BZ7237" s="8"/>
      <c r="CD7237" s="8"/>
    </row>
    <row r="7238" spans="73:82" ht="15.75">
      <c r="BU7238" s="8"/>
      <c r="BZ7238" s="8"/>
      <c r="CD7238" s="8"/>
    </row>
    <row r="7239" spans="73:82" ht="15.75">
      <c r="BU7239" s="8"/>
      <c r="BZ7239" s="8"/>
      <c r="CD7239" s="8"/>
    </row>
    <row r="7240" spans="73:82" ht="15.75">
      <c r="BU7240" s="8"/>
      <c r="BZ7240" s="8"/>
      <c r="CD7240" s="8"/>
    </row>
    <row r="7241" spans="73:82" ht="15.75">
      <c r="BU7241" s="8"/>
      <c r="BZ7241" s="8"/>
      <c r="CD7241" s="8"/>
    </row>
    <row r="7242" spans="73:82" ht="15.75">
      <c r="BU7242" s="8"/>
      <c r="BZ7242" s="8"/>
      <c r="CD7242" s="8"/>
    </row>
    <row r="7243" spans="73:82" ht="15.75">
      <c r="BU7243" s="8"/>
      <c r="BZ7243" s="8"/>
      <c r="CD7243" s="8"/>
    </row>
    <row r="7244" spans="73:82" ht="15.75">
      <c r="BU7244" s="8"/>
      <c r="BZ7244" s="8"/>
      <c r="CD7244" s="8"/>
    </row>
    <row r="7245" spans="73:82" ht="15.75">
      <c r="BU7245" s="8"/>
      <c r="BZ7245" s="8"/>
      <c r="CD7245" s="8"/>
    </row>
    <row r="7246" spans="73:82" ht="15.75">
      <c r="BU7246" s="8"/>
      <c r="BZ7246" s="8"/>
      <c r="CD7246" s="8"/>
    </row>
    <row r="7247" spans="73:82" ht="15.75">
      <c r="BU7247" s="8"/>
      <c r="BZ7247" s="8"/>
      <c r="CD7247" s="8"/>
    </row>
    <row r="7248" spans="73:82" ht="15.75">
      <c r="BU7248" s="8"/>
      <c r="BZ7248" s="8"/>
      <c r="CD7248" s="8"/>
    </row>
    <row r="7249" spans="73:82" ht="15.75">
      <c r="BU7249" s="8"/>
      <c r="BZ7249" s="8"/>
      <c r="CD7249" s="8"/>
    </row>
    <row r="7250" spans="73:82" ht="15.75">
      <c r="BU7250" s="8"/>
      <c r="BZ7250" s="8"/>
      <c r="CD7250" s="8"/>
    </row>
    <row r="7251" spans="73:82" ht="15.75">
      <c r="BU7251" s="8"/>
      <c r="BZ7251" s="8"/>
      <c r="CD7251" s="8"/>
    </row>
    <row r="7252" spans="73:82" ht="15.75">
      <c r="BU7252" s="8"/>
      <c r="BZ7252" s="8"/>
      <c r="CD7252" s="8"/>
    </row>
    <row r="7253" spans="73:82" ht="15.75">
      <c r="BU7253" s="8"/>
      <c r="BZ7253" s="8"/>
      <c r="CD7253" s="8"/>
    </row>
    <row r="7254" spans="73:82" ht="15.75">
      <c r="BU7254" s="8"/>
      <c r="BZ7254" s="8"/>
      <c r="CD7254" s="8"/>
    </row>
    <row r="7255" spans="73:82" ht="15.75">
      <c r="BU7255" s="8"/>
      <c r="BZ7255" s="8"/>
      <c r="CD7255" s="8"/>
    </row>
    <row r="7256" spans="73:82" ht="15.75">
      <c r="BU7256" s="8"/>
      <c r="BZ7256" s="8"/>
      <c r="CD7256" s="8"/>
    </row>
    <row r="7257" spans="73:82" ht="15.75">
      <c r="BU7257" s="8"/>
      <c r="BZ7257" s="8"/>
      <c r="CD7257" s="8"/>
    </row>
    <row r="7258" spans="73:82" ht="15.75">
      <c r="BU7258" s="8"/>
      <c r="BZ7258" s="8"/>
      <c r="CD7258" s="8"/>
    </row>
    <row r="7259" spans="73:82" ht="15.75">
      <c r="BU7259" s="8"/>
      <c r="BZ7259" s="8"/>
      <c r="CD7259" s="8"/>
    </row>
    <row r="7260" spans="73:82" ht="15.75">
      <c r="BU7260" s="8"/>
      <c r="BZ7260" s="8"/>
      <c r="CD7260" s="8"/>
    </row>
    <row r="7261" spans="73:82" ht="15.75">
      <c r="BU7261" s="8"/>
      <c r="BZ7261" s="8"/>
      <c r="CD7261" s="8"/>
    </row>
    <row r="7262" spans="73:82" ht="15.75">
      <c r="BU7262" s="8"/>
      <c r="BZ7262" s="8"/>
      <c r="CD7262" s="8"/>
    </row>
    <row r="7263" spans="73:82" ht="15.75">
      <c r="BU7263" s="8"/>
      <c r="BZ7263" s="8"/>
      <c r="CD7263" s="8"/>
    </row>
    <row r="7264" spans="73:82" ht="15.75">
      <c r="BU7264" s="8"/>
      <c r="BZ7264" s="8"/>
      <c r="CD7264" s="8"/>
    </row>
    <row r="7265" spans="73:82" ht="15.75">
      <c r="BU7265" s="8"/>
      <c r="BZ7265" s="8"/>
      <c r="CD7265" s="8"/>
    </row>
    <row r="7266" spans="73:82" ht="15.75">
      <c r="BU7266" s="8"/>
      <c r="BZ7266" s="8"/>
      <c r="CD7266" s="8"/>
    </row>
    <row r="7267" spans="73:82" ht="15.75">
      <c r="BU7267" s="8"/>
      <c r="BZ7267" s="8"/>
      <c r="CD7267" s="8"/>
    </row>
    <row r="7268" spans="73:82" ht="15.75">
      <c r="BU7268" s="8"/>
      <c r="BZ7268" s="8"/>
      <c r="CD7268" s="8"/>
    </row>
    <row r="7269" spans="73:82" ht="15.75">
      <c r="BU7269" s="8"/>
      <c r="BZ7269" s="8"/>
      <c r="CD7269" s="8"/>
    </row>
    <row r="7270" spans="73:82" ht="15.75">
      <c r="BU7270" s="8"/>
      <c r="BZ7270" s="8"/>
      <c r="CD7270" s="8"/>
    </row>
    <row r="7271" spans="73:82" ht="15.75">
      <c r="BU7271" s="8"/>
      <c r="BZ7271" s="8"/>
      <c r="CD7271" s="8"/>
    </row>
    <row r="7272" spans="73:82" ht="15.75">
      <c r="BU7272" s="8"/>
      <c r="BZ7272" s="8"/>
      <c r="CD7272" s="8"/>
    </row>
    <row r="7273" spans="73:82" ht="15.75">
      <c r="BU7273" s="8"/>
      <c r="BZ7273" s="8"/>
      <c r="CD7273" s="8"/>
    </row>
    <row r="7274" spans="73:82" ht="15.75">
      <c r="BU7274" s="8"/>
      <c r="BZ7274" s="8"/>
      <c r="CD7274" s="8"/>
    </row>
    <row r="7275" spans="73:82" ht="15.75">
      <c r="BU7275" s="8"/>
      <c r="BZ7275" s="8"/>
      <c r="CD7275" s="8"/>
    </row>
    <row r="7276" spans="73:82" ht="15.75">
      <c r="BU7276" s="8"/>
      <c r="BZ7276" s="8"/>
      <c r="CD7276" s="8"/>
    </row>
    <row r="7277" spans="73:82" ht="15.75">
      <c r="BU7277" s="8"/>
      <c r="BZ7277" s="8"/>
      <c r="CD7277" s="8"/>
    </row>
    <row r="7278" spans="73:82" ht="15.75">
      <c r="BU7278" s="8"/>
      <c r="BZ7278" s="8"/>
      <c r="CD7278" s="8"/>
    </row>
    <row r="7279" spans="73:82" ht="15.75">
      <c r="BU7279" s="8"/>
      <c r="BZ7279" s="8"/>
      <c r="CD7279" s="8"/>
    </row>
    <row r="7280" spans="73:82" ht="15.75">
      <c r="BU7280" s="8"/>
      <c r="BZ7280" s="8"/>
      <c r="CD7280" s="8"/>
    </row>
    <row r="7281" spans="73:82" ht="15.75">
      <c r="BU7281" s="8"/>
      <c r="BZ7281" s="8"/>
      <c r="CD7281" s="8"/>
    </row>
    <row r="7282" spans="73:82" ht="15.75">
      <c r="BU7282" s="8"/>
      <c r="BZ7282" s="8"/>
      <c r="CD7282" s="8"/>
    </row>
    <row r="7283" spans="73:82" ht="15.75">
      <c r="BU7283" s="8"/>
      <c r="BZ7283" s="8"/>
      <c r="CD7283" s="8"/>
    </row>
    <row r="7284" spans="73:82" ht="15.75">
      <c r="BU7284" s="8"/>
      <c r="BZ7284" s="8"/>
      <c r="CD7284" s="8"/>
    </row>
    <row r="7285" spans="73:82" ht="15.75">
      <c r="BU7285" s="8"/>
      <c r="BZ7285" s="8"/>
      <c r="CD7285" s="8"/>
    </row>
    <row r="7286" spans="73:82" ht="15.75">
      <c r="BU7286" s="8"/>
      <c r="BZ7286" s="8"/>
      <c r="CD7286" s="8"/>
    </row>
    <row r="7287" spans="73:82" ht="15.75">
      <c r="BU7287" s="8"/>
      <c r="BZ7287" s="8"/>
      <c r="CD7287" s="8"/>
    </row>
    <row r="7288" spans="73:82" ht="15.75">
      <c r="BU7288" s="8"/>
      <c r="BZ7288" s="8"/>
      <c r="CD7288" s="8"/>
    </row>
    <row r="7289" spans="73:82" ht="15.75">
      <c r="BU7289" s="8"/>
      <c r="BZ7289" s="8"/>
      <c r="CD7289" s="8"/>
    </row>
    <row r="7290" spans="73:82" ht="15.75">
      <c r="BU7290" s="8"/>
      <c r="BZ7290" s="8"/>
      <c r="CD7290" s="8"/>
    </row>
    <row r="7291" spans="73:82" ht="15.75">
      <c r="BU7291" s="8"/>
      <c r="BZ7291" s="8"/>
      <c r="CD7291" s="8"/>
    </row>
    <row r="7292" spans="73:82" ht="15.75">
      <c r="BU7292" s="8"/>
      <c r="BZ7292" s="8"/>
      <c r="CD7292" s="8"/>
    </row>
    <row r="7293" spans="73:82" ht="15.75">
      <c r="BU7293" s="8"/>
      <c r="BZ7293" s="8"/>
      <c r="CD7293" s="8"/>
    </row>
    <row r="7294" spans="73:82" ht="15.75">
      <c r="BU7294" s="8"/>
      <c r="BZ7294" s="8"/>
      <c r="CD7294" s="8"/>
    </row>
    <row r="7295" spans="73:82" ht="15.75">
      <c r="BU7295" s="8"/>
      <c r="BZ7295" s="8"/>
      <c r="CD7295" s="8"/>
    </row>
    <row r="7296" spans="73:82" ht="15.75">
      <c r="BU7296" s="8"/>
      <c r="BZ7296" s="8"/>
      <c r="CD7296" s="8"/>
    </row>
    <row r="7297" spans="73:82" ht="15.75">
      <c r="BU7297" s="8"/>
      <c r="BZ7297" s="8"/>
      <c r="CD7297" s="8"/>
    </row>
    <row r="7298" spans="73:82" ht="15.75">
      <c r="BU7298" s="8"/>
      <c r="BZ7298" s="8"/>
      <c r="CD7298" s="8"/>
    </row>
    <row r="7299" spans="73:82" ht="15.75">
      <c r="BU7299" s="8"/>
      <c r="BZ7299" s="8"/>
      <c r="CD7299" s="8"/>
    </row>
    <row r="7300" spans="73:82" ht="15.75">
      <c r="BU7300" s="8"/>
      <c r="BZ7300" s="8"/>
      <c r="CD7300" s="8"/>
    </row>
    <row r="7301" spans="73:82" ht="15.75">
      <c r="BU7301" s="8"/>
      <c r="BZ7301" s="8"/>
      <c r="CD7301" s="8"/>
    </row>
    <row r="7302" spans="73:82" ht="15.75">
      <c r="BU7302" s="8"/>
      <c r="BZ7302" s="8"/>
      <c r="CD7302" s="8"/>
    </row>
    <row r="7303" spans="73:82" ht="15.75">
      <c r="BU7303" s="8"/>
      <c r="BZ7303" s="8"/>
      <c r="CD7303" s="8"/>
    </row>
    <row r="7304" spans="73:82" ht="15.75">
      <c r="BU7304" s="8"/>
      <c r="BZ7304" s="8"/>
      <c r="CD7304" s="8"/>
    </row>
    <row r="7305" spans="73:82" ht="15.75">
      <c r="BU7305" s="8"/>
      <c r="BZ7305" s="8"/>
      <c r="CD7305" s="8"/>
    </row>
    <row r="7306" spans="73:82" ht="15.75">
      <c r="BU7306" s="8"/>
      <c r="BZ7306" s="8"/>
      <c r="CD7306" s="8"/>
    </row>
    <row r="7307" spans="73:82" ht="15.75">
      <c r="BU7307" s="8"/>
      <c r="BZ7307" s="8"/>
      <c r="CD7307" s="8"/>
    </row>
    <row r="7308" spans="73:82" ht="15.75">
      <c r="BU7308" s="8"/>
      <c r="BZ7308" s="8"/>
      <c r="CD7308" s="8"/>
    </row>
    <row r="7309" spans="73:82" ht="15.75">
      <c r="BU7309" s="8"/>
      <c r="BZ7309" s="8"/>
      <c r="CD7309" s="8"/>
    </row>
    <row r="7310" spans="73:82" ht="15.75">
      <c r="BU7310" s="8"/>
      <c r="BZ7310" s="8"/>
      <c r="CD7310" s="8"/>
    </row>
    <row r="7311" spans="73:82" ht="15.75">
      <c r="BU7311" s="8"/>
      <c r="BZ7311" s="8"/>
      <c r="CD7311" s="8"/>
    </row>
    <row r="7312" spans="73:82" ht="15.75">
      <c r="BU7312" s="8"/>
      <c r="BZ7312" s="8"/>
      <c r="CD7312" s="8"/>
    </row>
    <row r="7313" spans="73:82" ht="15.75">
      <c r="BU7313" s="8"/>
      <c r="BZ7313" s="8"/>
      <c r="CD7313" s="8"/>
    </row>
    <row r="7314" spans="73:82" ht="15.75">
      <c r="BU7314" s="8"/>
      <c r="BZ7314" s="8"/>
      <c r="CD7314" s="8"/>
    </row>
    <row r="7315" spans="73:82" ht="15.75">
      <c r="BU7315" s="8"/>
      <c r="BZ7315" s="8"/>
      <c r="CD7315" s="8"/>
    </row>
    <row r="7316" spans="73:82" ht="15.75">
      <c r="BU7316" s="8"/>
      <c r="BZ7316" s="8"/>
      <c r="CD7316" s="8"/>
    </row>
    <row r="7317" spans="73:82" ht="15.75">
      <c r="BU7317" s="8"/>
      <c r="BZ7317" s="8"/>
      <c r="CD7317" s="8"/>
    </row>
    <row r="7318" spans="73:82" ht="15.75">
      <c r="BU7318" s="8"/>
      <c r="BZ7318" s="8"/>
      <c r="CD7318" s="8"/>
    </row>
    <row r="7319" spans="73:82" ht="15.75">
      <c r="BU7319" s="8"/>
      <c r="BZ7319" s="8"/>
      <c r="CD7319" s="8"/>
    </row>
    <row r="7320" spans="73:82" ht="15.75">
      <c r="BU7320" s="8"/>
      <c r="BZ7320" s="8"/>
      <c r="CD7320" s="8"/>
    </row>
    <row r="7321" spans="73:82" ht="15.75">
      <c r="BU7321" s="8"/>
      <c r="BZ7321" s="8"/>
      <c r="CD7321" s="8"/>
    </row>
    <row r="7322" spans="73:82" ht="15.75">
      <c r="BU7322" s="8"/>
      <c r="BZ7322" s="8"/>
      <c r="CD7322" s="8"/>
    </row>
    <row r="7323" spans="73:82" ht="15.75">
      <c r="BU7323" s="8"/>
      <c r="BZ7323" s="8"/>
      <c r="CD7323" s="8"/>
    </row>
    <row r="7324" spans="73:82" ht="15.75">
      <c r="BU7324" s="8"/>
      <c r="BZ7324" s="8"/>
      <c r="CD7324" s="8"/>
    </row>
    <row r="7325" spans="73:82" ht="15.75">
      <c r="BU7325" s="8"/>
      <c r="BZ7325" s="8"/>
      <c r="CD7325" s="8"/>
    </row>
    <row r="7326" spans="73:82" ht="15.75">
      <c r="BU7326" s="8"/>
      <c r="BZ7326" s="8"/>
      <c r="CD7326" s="8"/>
    </row>
    <row r="7327" spans="73:82" ht="15.75">
      <c r="BU7327" s="8"/>
      <c r="BZ7327" s="8"/>
      <c r="CD7327" s="8"/>
    </row>
    <row r="7328" spans="73:82" ht="15.75">
      <c r="BU7328" s="8"/>
      <c r="BZ7328" s="8"/>
      <c r="CD7328" s="8"/>
    </row>
    <row r="7329" spans="73:82" ht="15.75">
      <c r="BU7329" s="8"/>
      <c r="BZ7329" s="8"/>
      <c r="CD7329" s="8"/>
    </row>
    <row r="7330" spans="73:82" ht="15.75">
      <c r="BU7330" s="8"/>
      <c r="BZ7330" s="8"/>
      <c r="CD7330" s="8"/>
    </row>
    <row r="7331" spans="73:82" ht="15.75">
      <c r="BU7331" s="8"/>
      <c r="BZ7331" s="8"/>
      <c r="CD7331" s="8"/>
    </row>
    <row r="7332" spans="73:82" ht="15.75">
      <c r="BU7332" s="8"/>
      <c r="BZ7332" s="8"/>
      <c r="CD7332" s="8"/>
    </row>
    <row r="7333" spans="73:82" ht="15.75">
      <c r="BU7333" s="8"/>
      <c r="BZ7333" s="8"/>
      <c r="CD7333" s="8"/>
    </row>
    <row r="7334" spans="73:82" ht="15.75">
      <c r="BU7334" s="8"/>
      <c r="BZ7334" s="8"/>
      <c r="CD7334" s="8"/>
    </row>
    <row r="7335" spans="73:82" ht="15.75">
      <c r="BU7335" s="8"/>
      <c r="BZ7335" s="8"/>
      <c r="CD7335" s="8"/>
    </row>
    <row r="7336" spans="73:82" ht="15.75">
      <c r="BU7336" s="8"/>
      <c r="BZ7336" s="8"/>
      <c r="CD7336" s="8"/>
    </row>
    <row r="7337" spans="73:82" ht="15.75">
      <c r="BU7337" s="8"/>
      <c r="BZ7337" s="8"/>
      <c r="CD7337" s="8"/>
    </row>
    <row r="7338" spans="73:82" ht="15.75">
      <c r="BU7338" s="8"/>
      <c r="BZ7338" s="8"/>
      <c r="CD7338" s="8"/>
    </row>
    <row r="7339" spans="73:82" ht="15.75">
      <c r="BU7339" s="8"/>
      <c r="BZ7339" s="8"/>
      <c r="CD7339" s="8"/>
    </row>
    <row r="7340" spans="73:82" ht="15.75">
      <c r="BU7340" s="8"/>
      <c r="BZ7340" s="8"/>
      <c r="CD7340" s="8"/>
    </row>
    <row r="7341" spans="73:82" ht="15.75">
      <c r="BU7341" s="8"/>
      <c r="BZ7341" s="8"/>
      <c r="CD7341" s="8"/>
    </row>
    <row r="7342" spans="73:82" ht="15.75">
      <c r="BU7342" s="8"/>
      <c r="BZ7342" s="8"/>
      <c r="CD7342" s="8"/>
    </row>
    <row r="7343" spans="73:82" ht="15.75">
      <c r="BU7343" s="8"/>
      <c r="BZ7343" s="8"/>
      <c r="CD7343" s="8"/>
    </row>
    <row r="7344" spans="73:82" ht="15.75">
      <c r="BU7344" s="8"/>
      <c r="BZ7344" s="8"/>
      <c r="CD7344" s="8"/>
    </row>
    <row r="7345" spans="73:82" ht="15.75">
      <c r="BU7345" s="8"/>
      <c r="BZ7345" s="8"/>
      <c r="CD7345" s="8"/>
    </row>
    <row r="7346" spans="73:82" ht="15.75">
      <c r="BU7346" s="8"/>
      <c r="BZ7346" s="8"/>
      <c r="CD7346" s="8"/>
    </row>
    <row r="7347" spans="73:82" ht="15.75">
      <c r="BU7347" s="8"/>
      <c r="BZ7347" s="8"/>
      <c r="CD7347" s="8"/>
    </row>
    <row r="7348" spans="73:82" ht="15.75">
      <c r="BU7348" s="8"/>
      <c r="BZ7348" s="8"/>
      <c r="CD7348" s="8"/>
    </row>
    <row r="7349" spans="73:82" ht="15.75">
      <c r="BU7349" s="8"/>
      <c r="BZ7349" s="8"/>
      <c r="CD7349" s="8"/>
    </row>
    <row r="7350" spans="73:82" ht="15.75">
      <c r="BU7350" s="8"/>
      <c r="BZ7350" s="8"/>
      <c r="CD7350" s="8"/>
    </row>
    <row r="7351" spans="73:82" ht="15.75">
      <c r="BU7351" s="8"/>
      <c r="BZ7351" s="8"/>
      <c r="CD7351" s="8"/>
    </row>
    <row r="7352" spans="73:82" ht="15.75">
      <c r="BU7352" s="8"/>
      <c r="BZ7352" s="8"/>
      <c r="CD7352" s="8"/>
    </row>
    <row r="7353" spans="73:82" ht="15.75">
      <c r="BU7353" s="8"/>
      <c r="BZ7353" s="8"/>
      <c r="CD7353" s="8"/>
    </row>
    <row r="7354" spans="73:82" ht="15.75">
      <c r="BU7354" s="8"/>
      <c r="BZ7354" s="8"/>
      <c r="CD7354" s="8"/>
    </row>
    <row r="7355" spans="73:82" ht="15.75">
      <c r="BU7355" s="8"/>
      <c r="BZ7355" s="8"/>
      <c r="CD7355" s="8"/>
    </row>
    <row r="7356" spans="73:82" ht="15.75">
      <c r="BU7356" s="8"/>
      <c r="BZ7356" s="8"/>
      <c r="CD7356" s="8"/>
    </row>
    <row r="7357" spans="73:82" ht="15.75">
      <c r="BU7357" s="8"/>
      <c r="BZ7357" s="8"/>
      <c r="CD7357" s="8"/>
    </row>
    <row r="7358" spans="73:82" ht="15.75">
      <c r="BU7358" s="8"/>
      <c r="BZ7358" s="8"/>
      <c r="CD7358" s="8"/>
    </row>
    <row r="7359" spans="73:82" ht="15.75">
      <c r="BU7359" s="8"/>
      <c r="BZ7359" s="8"/>
      <c r="CD7359" s="8"/>
    </row>
    <row r="7360" spans="73:82" ht="15.75">
      <c r="BU7360" s="8"/>
      <c r="BZ7360" s="8"/>
      <c r="CD7360" s="8"/>
    </row>
    <row r="7361" spans="73:82" ht="15.75">
      <c r="BU7361" s="8"/>
      <c r="BZ7361" s="8"/>
      <c r="CD7361" s="8"/>
    </row>
    <row r="7362" spans="73:82" ht="15.75">
      <c r="BU7362" s="8"/>
      <c r="BZ7362" s="8"/>
      <c r="CD7362" s="8"/>
    </row>
    <row r="7363" spans="73:82" ht="15.75">
      <c r="BU7363" s="8"/>
      <c r="BZ7363" s="8"/>
      <c r="CD7363" s="8"/>
    </row>
    <row r="7364" spans="73:82" ht="15.75">
      <c r="BU7364" s="8"/>
      <c r="BZ7364" s="8"/>
      <c r="CD7364" s="8"/>
    </row>
    <row r="7365" spans="73:82" ht="15.75">
      <c r="BU7365" s="8"/>
      <c r="BZ7365" s="8"/>
      <c r="CD7365" s="8"/>
    </row>
    <row r="7366" spans="73:82" ht="15.75">
      <c r="BU7366" s="8"/>
      <c r="BZ7366" s="8"/>
      <c r="CD7366" s="8"/>
    </row>
    <row r="7367" spans="73:82" ht="15.75">
      <c r="BU7367" s="8"/>
      <c r="BZ7367" s="8"/>
      <c r="CD7367" s="8"/>
    </row>
    <row r="7368" spans="73:82" ht="15.75">
      <c r="BU7368" s="8"/>
      <c r="BZ7368" s="8"/>
      <c r="CD7368" s="8"/>
    </row>
    <row r="7369" spans="73:82" ht="15.75">
      <c r="BU7369" s="8"/>
      <c r="BZ7369" s="8"/>
      <c r="CD7369" s="8"/>
    </row>
    <row r="7370" spans="73:82" ht="15.75">
      <c r="BU7370" s="8"/>
      <c r="BZ7370" s="8"/>
      <c r="CD7370" s="8"/>
    </row>
    <row r="7371" spans="73:82" ht="15.75">
      <c r="BU7371" s="8"/>
      <c r="BZ7371" s="8"/>
      <c r="CD7371" s="8"/>
    </row>
    <row r="7372" spans="73:82" ht="15.75">
      <c r="BU7372" s="8"/>
      <c r="BZ7372" s="8"/>
      <c r="CD7372" s="8"/>
    </row>
    <row r="7373" spans="73:82" ht="15.75">
      <c r="BU7373" s="8"/>
      <c r="BZ7373" s="8"/>
      <c r="CD7373" s="8"/>
    </row>
    <row r="7374" spans="73:82" ht="15.75">
      <c r="BU7374" s="8"/>
      <c r="BZ7374" s="8"/>
      <c r="CD7374" s="8"/>
    </row>
    <row r="7375" spans="73:82" ht="15.75">
      <c r="BU7375" s="8"/>
      <c r="BZ7375" s="8"/>
      <c r="CD7375" s="8"/>
    </row>
    <row r="7376" spans="73:82" ht="15.75">
      <c r="BU7376" s="8"/>
      <c r="BZ7376" s="8"/>
      <c r="CD7376" s="8"/>
    </row>
    <row r="7377" spans="73:82" ht="15.75">
      <c r="BU7377" s="8"/>
      <c r="BZ7377" s="8"/>
      <c r="CD7377" s="8"/>
    </row>
    <row r="7378" spans="73:82" ht="15.75">
      <c r="BU7378" s="8"/>
      <c r="BZ7378" s="8"/>
      <c r="CD7378" s="8"/>
    </row>
    <row r="7379" spans="73:82" ht="15.75">
      <c r="BU7379" s="8"/>
      <c r="BZ7379" s="8"/>
      <c r="CD7379" s="8"/>
    </row>
    <row r="7380" spans="73:82" ht="15.75">
      <c r="BU7380" s="8"/>
      <c r="BZ7380" s="8"/>
      <c r="CD7380" s="8"/>
    </row>
    <row r="7381" spans="73:82" ht="15.75">
      <c r="BU7381" s="8"/>
      <c r="BZ7381" s="8"/>
      <c r="CD7381" s="8"/>
    </row>
    <row r="7382" spans="73:82" ht="15.75">
      <c r="BU7382" s="8"/>
      <c r="BZ7382" s="8"/>
      <c r="CD7382" s="8"/>
    </row>
    <row r="7383" spans="73:82" ht="15.75">
      <c r="BU7383" s="8"/>
      <c r="BZ7383" s="8"/>
      <c r="CD7383" s="8"/>
    </row>
    <row r="7384" spans="73:82" ht="15.75">
      <c r="BU7384" s="8"/>
      <c r="BZ7384" s="8"/>
      <c r="CD7384" s="8"/>
    </row>
    <row r="7385" spans="73:82" ht="15.75">
      <c r="BU7385" s="8"/>
      <c r="BZ7385" s="8"/>
      <c r="CD7385" s="8"/>
    </row>
    <row r="7386" spans="73:82" ht="15.75">
      <c r="BU7386" s="8"/>
      <c r="BZ7386" s="8"/>
      <c r="CD7386" s="8"/>
    </row>
    <row r="7387" spans="73:82" ht="15.75">
      <c r="BU7387" s="8"/>
      <c r="BZ7387" s="8"/>
      <c r="CD7387" s="8"/>
    </row>
    <row r="7388" spans="73:82" ht="15.75">
      <c r="BU7388" s="8"/>
      <c r="BZ7388" s="8"/>
      <c r="CD7388" s="8"/>
    </row>
    <row r="7389" spans="73:82" ht="15.75">
      <c r="BU7389" s="8"/>
      <c r="BZ7389" s="8"/>
      <c r="CD7389" s="8"/>
    </row>
    <row r="7390" spans="73:82" ht="15.75">
      <c r="BU7390" s="8"/>
      <c r="BZ7390" s="8"/>
      <c r="CD7390" s="8"/>
    </row>
    <row r="7391" spans="73:82" ht="15.75">
      <c r="BU7391" s="8"/>
      <c r="BZ7391" s="8"/>
      <c r="CD7391" s="8"/>
    </row>
    <row r="7392" spans="73:82" ht="15.75">
      <c r="BU7392" s="8"/>
      <c r="BZ7392" s="8"/>
      <c r="CD7392" s="8"/>
    </row>
    <row r="7393" spans="73:82" ht="15.75">
      <c r="BU7393" s="8"/>
      <c r="BZ7393" s="8"/>
      <c r="CD7393" s="8"/>
    </row>
    <row r="7394" spans="73:82" ht="15.75">
      <c r="BU7394" s="8"/>
      <c r="BZ7394" s="8"/>
      <c r="CD7394" s="8"/>
    </row>
    <row r="7395" spans="73:82" ht="15.75">
      <c r="BU7395" s="8"/>
      <c r="BZ7395" s="8"/>
      <c r="CD7395" s="8"/>
    </row>
    <row r="7396" spans="73:82" ht="15.75">
      <c r="BU7396" s="8"/>
      <c r="BZ7396" s="8"/>
      <c r="CD7396" s="8"/>
    </row>
    <row r="7397" spans="73:82" ht="15.75">
      <c r="BU7397" s="8"/>
      <c r="BZ7397" s="8"/>
      <c r="CD7397" s="8"/>
    </row>
    <row r="7398" spans="73:82" ht="15.75">
      <c r="BU7398" s="8"/>
      <c r="BZ7398" s="8"/>
      <c r="CD7398" s="8"/>
    </row>
    <row r="7399" spans="73:82" ht="15.75">
      <c r="BU7399" s="8"/>
      <c r="BZ7399" s="8"/>
      <c r="CD7399" s="8"/>
    </row>
    <row r="7400" spans="73:82" ht="15.75">
      <c r="BU7400" s="8"/>
      <c r="BZ7400" s="8"/>
      <c r="CD7400" s="8"/>
    </row>
    <row r="7401" spans="73:82" ht="15.75">
      <c r="BU7401" s="8"/>
      <c r="BZ7401" s="8"/>
      <c r="CD7401" s="8"/>
    </row>
    <row r="7402" spans="73:82" ht="15.75">
      <c r="BU7402" s="8"/>
      <c r="BZ7402" s="8"/>
      <c r="CD7402" s="8"/>
    </row>
    <row r="7403" spans="73:82" ht="15.75">
      <c r="BU7403" s="8"/>
      <c r="BZ7403" s="8"/>
      <c r="CD7403" s="8"/>
    </row>
    <row r="7404" spans="73:82" ht="15.75">
      <c r="BU7404" s="8"/>
      <c r="BZ7404" s="8"/>
      <c r="CD7404" s="8"/>
    </row>
    <row r="7405" spans="73:82" ht="15.75">
      <c r="BU7405" s="8"/>
      <c r="BZ7405" s="8"/>
      <c r="CD7405" s="8"/>
    </row>
    <row r="7406" spans="73:82" ht="15.75">
      <c r="BU7406" s="8"/>
      <c r="BZ7406" s="8"/>
      <c r="CD7406" s="8"/>
    </row>
    <row r="7407" spans="73:82" ht="15.75">
      <c r="BU7407" s="8"/>
      <c r="BZ7407" s="8"/>
      <c r="CD7407" s="8"/>
    </row>
    <row r="7408" spans="73:82" ht="15.75">
      <c r="BU7408" s="8"/>
      <c r="BZ7408" s="8"/>
      <c r="CD7408" s="8"/>
    </row>
    <row r="7409" spans="73:82" ht="15.75">
      <c r="BU7409" s="8"/>
      <c r="BZ7409" s="8"/>
      <c r="CD7409" s="8"/>
    </row>
    <row r="7410" spans="73:82" ht="15.75">
      <c r="BU7410" s="8"/>
      <c r="BZ7410" s="8"/>
      <c r="CD7410" s="8"/>
    </row>
    <row r="7411" spans="73:82" ht="15.75">
      <c r="BU7411" s="8"/>
      <c r="BZ7411" s="8"/>
      <c r="CD7411" s="8"/>
    </row>
    <row r="7412" spans="73:82" ht="15.75">
      <c r="BU7412" s="8"/>
      <c r="BZ7412" s="8"/>
      <c r="CD7412" s="8"/>
    </row>
    <row r="7413" spans="73:82" ht="15.75">
      <c r="BU7413" s="8"/>
      <c r="BZ7413" s="8"/>
      <c r="CD7413" s="8"/>
    </row>
    <row r="7414" spans="73:82" ht="15.75">
      <c r="BU7414" s="8"/>
      <c r="BZ7414" s="8"/>
      <c r="CD7414" s="8"/>
    </row>
    <row r="7415" spans="73:82" ht="15.75">
      <c r="BU7415" s="8"/>
      <c r="BZ7415" s="8"/>
      <c r="CD7415" s="8"/>
    </row>
    <row r="7416" spans="73:82" ht="15.75">
      <c r="BU7416" s="8"/>
      <c r="BZ7416" s="8"/>
      <c r="CD7416" s="8"/>
    </row>
    <row r="7417" spans="73:82" ht="15.75">
      <c r="BU7417" s="8"/>
      <c r="BZ7417" s="8"/>
      <c r="CD7417" s="8"/>
    </row>
    <row r="7418" spans="73:82" ht="15.75">
      <c r="BU7418" s="8"/>
      <c r="BZ7418" s="8"/>
      <c r="CD7418" s="8"/>
    </row>
    <row r="7419" spans="73:82" ht="15.75">
      <c r="BU7419" s="8"/>
      <c r="BZ7419" s="8"/>
      <c r="CD7419" s="8"/>
    </row>
    <row r="7420" spans="73:82" ht="15.75">
      <c r="BU7420" s="8"/>
      <c r="BZ7420" s="8"/>
      <c r="CD7420" s="8"/>
    </row>
    <row r="7421" spans="73:82" ht="15.75">
      <c r="BU7421" s="8"/>
      <c r="BZ7421" s="8"/>
      <c r="CD7421" s="8"/>
    </row>
    <row r="7422" spans="73:82" ht="15.75">
      <c r="BU7422" s="8"/>
      <c r="BZ7422" s="8"/>
      <c r="CD7422" s="8"/>
    </row>
    <row r="7423" spans="73:82" ht="15.75">
      <c r="BU7423" s="8"/>
      <c r="BZ7423" s="8"/>
      <c r="CD7423" s="8"/>
    </row>
    <row r="7424" spans="73:82" ht="15.75">
      <c r="BU7424" s="8"/>
      <c r="BZ7424" s="8"/>
      <c r="CD7424" s="8"/>
    </row>
    <row r="7425" spans="73:82" ht="15.75">
      <c r="BU7425" s="8"/>
      <c r="BZ7425" s="8"/>
      <c r="CD7425" s="8"/>
    </row>
    <row r="7426" spans="73:82" ht="15.75">
      <c r="BU7426" s="8"/>
      <c r="BZ7426" s="8"/>
      <c r="CD7426" s="8"/>
    </row>
    <row r="7427" spans="73:82" ht="15.75">
      <c r="BU7427" s="8"/>
      <c r="BZ7427" s="8"/>
      <c r="CD7427" s="8"/>
    </row>
    <row r="7428" spans="73:82" ht="15.75">
      <c r="BU7428" s="8"/>
      <c r="BZ7428" s="8"/>
      <c r="CD7428" s="8"/>
    </row>
    <row r="7429" spans="73:82" ht="15.75">
      <c r="BU7429" s="8"/>
      <c r="BZ7429" s="8"/>
      <c r="CD7429" s="8"/>
    </row>
    <row r="7430" spans="73:82" ht="15.75">
      <c r="BU7430" s="8"/>
      <c r="BZ7430" s="8"/>
      <c r="CD7430" s="8"/>
    </row>
    <row r="7431" spans="73:82" ht="15.75">
      <c r="BU7431" s="8"/>
      <c r="BZ7431" s="8"/>
      <c r="CD7431" s="8"/>
    </row>
    <row r="7432" spans="73:82" ht="15.75">
      <c r="BU7432" s="8"/>
      <c r="BZ7432" s="8"/>
      <c r="CD7432" s="8"/>
    </row>
    <row r="7433" spans="73:82" ht="15.75">
      <c r="BU7433" s="8"/>
      <c r="BZ7433" s="8"/>
      <c r="CD7433" s="8"/>
    </row>
    <row r="7434" spans="73:82" ht="15.75">
      <c r="BU7434" s="8"/>
      <c r="BZ7434" s="8"/>
      <c r="CD7434" s="8"/>
    </row>
    <row r="7435" spans="73:82" ht="15.75">
      <c r="BU7435" s="8"/>
      <c r="BZ7435" s="8"/>
      <c r="CD7435" s="8"/>
    </row>
    <row r="7436" spans="73:82" ht="15.75">
      <c r="BU7436" s="8"/>
      <c r="BZ7436" s="8"/>
      <c r="CD7436" s="8"/>
    </row>
    <row r="7437" spans="73:82" ht="15.75">
      <c r="BU7437" s="8"/>
      <c r="BZ7437" s="8"/>
      <c r="CD7437" s="8"/>
    </row>
    <row r="7438" spans="73:82" ht="15.75">
      <c r="BU7438" s="8"/>
      <c r="BZ7438" s="8"/>
      <c r="CD7438" s="8"/>
    </row>
    <row r="7439" spans="73:82" ht="15.75">
      <c r="BU7439" s="8"/>
      <c r="BZ7439" s="8"/>
      <c r="CD7439" s="8"/>
    </row>
    <row r="7440" spans="73:82" ht="15.75">
      <c r="BU7440" s="8"/>
      <c r="BZ7440" s="8"/>
      <c r="CD7440" s="8"/>
    </row>
    <row r="7441" spans="73:82" ht="15.75">
      <c r="BU7441" s="8"/>
      <c r="BZ7441" s="8"/>
      <c r="CD7441" s="8"/>
    </row>
    <row r="7442" spans="73:82" ht="15.75">
      <c r="BU7442" s="8"/>
      <c r="BZ7442" s="8"/>
      <c r="CD7442" s="8"/>
    </row>
    <row r="7443" spans="73:82" ht="15.75">
      <c r="BU7443" s="8"/>
      <c r="BZ7443" s="8"/>
      <c r="CD7443" s="8"/>
    </row>
    <row r="7444" spans="73:82" ht="15.75">
      <c r="BU7444" s="8"/>
      <c r="BZ7444" s="8"/>
      <c r="CD7444" s="8"/>
    </row>
    <row r="7445" spans="73:82" ht="15.75">
      <c r="BU7445" s="8"/>
      <c r="BZ7445" s="8"/>
      <c r="CD7445" s="8"/>
    </row>
    <row r="7446" spans="73:82" ht="15.75">
      <c r="BU7446" s="8"/>
      <c r="BZ7446" s="8"/>
      <c r="CD7446" s="8"/>
    </row>
    <row r="7447" spans="73:82" ht="15.75">
      <c r="BU7447" s="8"/>
      <c r="BZ7447" s="8"/>
      <c r="CD7447" s="8"/>
    </row>
    <row r="7448" spans="73:82" ht="15.75">
      <c r="BU7448" s="8"/>
      <c r="BZ7448" s="8"/>
      <c r="CD7448" s="8"/>
    </row>
    <row r="7449" spans="73:82" ht="15.75">
      <c r="BU7449" s="8"/>
      <c r="BZ7449" s="8"/>
      <c r="CD7449" s="8"/>
    </row>
    <row r="7450" spans="73:82" ht="15.75">
      <c r="BU7450" s="8"/>
      <c r="BZ7450" s="8"/>
      <c r="CD7450" s="8"/>
    </row>
    <row r="7451" spans="73:82" ht="15.75">
      <c r="BU7451" s="8"/>
      <c r="BZ7451" s="8"/>
      <c r="CD7451" s="8"/>
    </row>
    <row r="7452" spans="73:82" ht="15.75">
      <c r="BU7452" s="8"/>
      <c r="BZ7452" s="8"/>
      <c r="CD7452" s="8"/>
    </row>
    <row r="7453" spans="73:82" ht="15.75">
      <c r="BU7453" s="8"/>
      <c r="BZ7453" s="8"/>
      <c r="CD7453" s="8"/>
    </row>
    <row r="7454" spans="73:82" ht="15.75">
      <c r="BU7454" s="8"/>
      <c r="BZ7454" s="8"/>
      <c r="CD7454" s="8"/>
    </row>
    <row r="7455" spans="73:82" ht="15.75">
      <c r="BU7455" s="8"/>
      <c r="BZ7455" s="8"/>
      <c r="CD7455" s="8"/>
    </row>
    <row r="7456" spans="73:82" ht="15.75">
      <c r="BU7456" s="8"/>
      <c r="BZ7456" s="8"/>
      <c r="CD7456" s="8"/>
    </row>
    <row r="7457" spans="73:82" ht="15.75">
      <c r="BU7457" s="8"/>
      <c r="BZ7457" s="8"/>
      <c r="CD7457" s="8"/>
    </row>
    <row r="7458" spans="73:82" ht="15.75">
      <c r="BU7458" s="8"/>
      <c r="BZ7458" s="8"/>
      <c r="CD7458" s="8"/>
    </row>
    <row r="7459" spans="73:82" ht="15.75">
      <c r="BU7459" s="8"/>
      <c r="BZ7459" s="8"/>
      <c r="CD7459" s="8"/>
    </row>
    <row r="7460" spans="73:82" ht="15.75">
      <c r="BU7460" s="8"/>
      <c r="BZ7460" s="8"/>
      <c r="CD7460" s="8"/>
    </row>
    <row r="7461" spans="73:82" ht="15.75">
      <c r="BU7461" s="8"/>
      <c r="BZ7461" s="8"/>
      <c r="CD7461" s="8"/>
    </row>
    <row r="7462" spans="73:82" ht="15.75">
      <c r="BU7462" s="8"/>
      <c r="BZ7462" s="8"/>
      <c r="CD7462" s="8"/>
    </row>
    <row r="7463" spans="73:82" ht="15.75">
      <c r="BU7463" s="8"/>
      <c r="BZ7463" s="8"/>
      <c r="CD7463" s="8"/>
    </row>
    <row r="7464" spans="73:82" ht="15.75">
      <c r="BU7464" s="8"/>
      <c r="BZ7464" s="8"/>
      <c r="CD7464" s="8"/>
    </row>
    <row r="7465" spans="73:82" ht="15.75">
      <c r="BU7465" s="8"/>
      <c r="BZ7465" s="8"/>
      <c r="CD7465" s="8"/>
    </row>
    <row r="7466" spans="73:82" ht="15.75">
      <c r="BU7466" s="8"/>
      <c r="BZ7466" s="8"/>
      <c r="CD7466" s="8"/>
    </row>
    <row r="7467" spans="73:82" ht="15.75">
      <c r="BU7467" s="8"/>
      <c r="BZ7467" s="8"/>
      <c r="CD7467" s="8"/>
    </row>
    <row r="7468" spans="73:82" ht="15.75">
      <c r="BU7468" s="8"/>
      <c r="BZ7468" s="8"/>
      <c r="CD7468" s="8"/>
    </row>
    <row r="7469" spans="73:82" ht="15.75">
      <c r="BU7469" s="8"/>
      <c r="BZ7469" s="8"/>
      <c r="CD7469" s="8"/>
    </row>
    <row r="7470" spans="73:82" ht="15.75">
      <c r="BU7470" s="8"/>
      <c r="BZ7470" s="8"/>
      <c r="CD7470" s="8"/>
    </row>
    <row r="7471" spans="73:82" ht="15.75">
      <c r="BU7471" s="8"/>
      <c r="BZ7471" s="8"/>
      <c r="CD7471" s="8"/>
    </row>
    <row r="7472" spans="73:82" ht="15.75">
      <c r="BU7472" s="8"/>
      <c r="BZ7472" s="8"/>
      <c r="CD7472" s="8"/>
    </row>
    <row r="7473" spans="73:82" ht="15.75">
      <c r="BU7473" s="8"/>
      <c r="BZ7473" s="8"/>
      <c r="CD7473" s="8"/>
    </row>
    <row r="7474" spans="73:82" ht="15.75">
      <c r="BU7474" s="8"/>
      <c r="BZ7474" s="8"/>
      <c r="CD7474" s="8"/>
    </row>
    <row r="7475" spans="73:82" ht="15.75">
      <c r="BU7475" s="8"/>
      <c r="BZ7475" s="8"/>
      <c r="CD7475" s="8"/>
    </row>
    <row r="7476" spans="73:82" ht="15.75">
      <c r="BU7476" s="8"/>
      <c r="BZ7476" s="8"/>
      <c r="CD7476" s="8"/>
    </row>
    <row r="7477" spans="73:82" ht="15.75">
      <c r="BU7477" s="8"/>
      <c r="BZ7477" s="8"/>
      <c r="CD7477" s="8"/>
    </row>
    <row r="7478" spans="73:82" ht="15.75">
      <c r="BU7478" s="8"/>
      <c r="BZ7478" s="8"/>
      <c r="CD7478" s="8"/>
    </row>
    <row r="7479" spans="73:82" ht="15.75">
      <c r="BU7479" s="8"/>
      <c r="BZ7479" s="8"/>
      <c r="CD7479" s="8"/>
    </row>
    <row r="7480" spans="73:82" ht="15.75">
      <c r="BU7480" s="8"/>
      <c r="BZ7480" s="8"/>
      <c r="CD7480" s="8"/>
    </row>
    <row r="7481" spans="73:82" ht="15.75">
      <c r="BU7481" s="8"/>
      <c r="BZ7481" s="8"/>
      <c r="CD7481" s="8"/>
    </row>
    <row r="7482" spans="73:82" ht="15.75">
      <c r="BU7482" s="8"/>
      <c r="BZ7482" s="8"/>
      <c r="CD7482" s="8"/>
    </row>
    <row r="7483" spans="73:82" ht="15.75">
      <c r="BU7483" s="8"/>
      <c r="BZ7483" s="8"/>
      <c r="CD7483" s="8"/>
    </row>
    <row r="7484" spans="73:82" ht="15.75">
      <c r="BU7484" s="8"/>
      <c r="BZ7484" s="8"/>
      <c r="CD7484" s="8"/>
    </row>
    <row r="7485" spans="73:82" ht="15.75">
      <c r="BU7485" s="8"/>
      <c r="BZ7485" s="8"/>
      <c r="CD7485" s="8"/>
    </row>
    <row r="7486" spans="73:82" ht="15.75">
      <c r="BU7486" s="8"/>
      <c r="BZ7486" s="8"/>
      <c r="CD7486" s="8"/>
    </row>
    <row r="7487" spans="73:82" ht="15.75">
      <c r="BU7487" s="8"/>
      <c r="BZ7487" s="8"/>
      <c r="CD7487" s="8"/>
    </row>
    <row r="7488" spans="73:82" ht="15.75">
      <c r="BU7488" s="8"/>
      <c r="BZ7488" s="8"/>
      <c r="CD7488" s="8"/>
    </row>
    <row r="7489" spans="73:82" ht="15.75">
      <c r="BU7489" s="8"/>
      <c r="BZ7489" s="8"/>
      <c r="CD7489" s="8"/>
    </row>
    <row r="7490" spans="73:82" ht="15.75">
      <c r="BU7490" s="8"/>
      <c r="BZ7490" s="8"/>
      <c r="CD7490" s="8"/>
    </row>
    <row r="7491" spans="73:82" ht="15.75">
      <c r="BU7491" s="8"/>
      <c r="BZ7491" s="8"/>
      <c r="CD7491" s="8"/>
    </row>
    <row r="7492" spans="73:82" ht="15.75">
      <c r="BU7492" s="8"/>
      <c r="BZ7492" s="8"/>
      <c r="CD7492" s="8"/>
    </row>
    <row r="7493" spans="73:82" ht="15.75">
      <c r="BU7493" s="8"/>
      <c r="BZ7493" s="8"/>
      <c r="CD7493" s="8"/>
    </row>
    <row r="7494" spans="73:82" ht="15.75">
      <c r="BU7494" s="8"/>
      <c r="BZ7494" s="8"/>
      <c r="CD7494" s="8"/>
    </row>
    <row r="7495" spans="73:82" ht="15.75">
      <c r="BU7495" s="8"/>
      <c r="BZ7495" s="8"/>
      <c r="CD7495" s="8"/>
    </row>
    <row r="7496" spans="73:82" ht="15.75">
      <c r="BU7496" s="8"/>
      <c r="BZ7496" s="8"/>
      <c r="CD7496" s="8"/>
    </row>
    <row r="7497" spans="73:82" ht="15.75">
      <c r="BU7497" s="8"/>
      <c r="BZ7497" s="8"/>
      <c r="CD7497" s="8"/>
    </row>
    <row r="7498" spans="73:82" ht="15.75">
      <c r="BU7498" s="8"/>
      <c r="BZ7498" s="8"/>
      <c r="CD7498" s="8"/>
    </row>
    <row r="7499" spans="73:82" ht="15.75">
      <c r="BU7499" s="8"/>
      <c r="BZ7499" s="8"/>
      <c r="CD7499" s="8"/>
    </row>
    <row r="7500" spans="73:82" ht="15.75">
      <c r="BU7500" s="8"/>
      <c r="BZ7500" s="8"/>
      <c r="CD7500" s="8"/>
    </row>
    <row r="7501" spans="73:82" ht="15.75">
      <c r="BU7501" s="8"/>
      <c r="BZ7501" s="8"/>
      <c r="CD7501" s="8"/>
    </row>
    <row r="7502" spans="73:82" ht="15.75">
      <c r="BU7502" s="8"/>
      <c r="BZ7502" s="8"/>
      <c r="CD7502" s="8"/>
    </row>
    <row r="7503" spans="73:82" ht="15.75">
      <c r="BU7503" s="8"/>
      <c r="BZ7503" s="8"/>
      <c r="CD7503" s="8"/>
    </row>
    <row r="7504" spans="73:82" ht="15.75">
      <c r="BU7504" s="8"/>
      <c r="BZ7504" s="8"/>
      <c r="CD7504" s="8"/>
    </row>
    <row r="7505" spans="73:82" ht="15.75">
      <c r="BU7505" s="8"/>
      <c r="BZ7505" s="8"/>
      <c r="CD7505" s="8"/>
    </row>
    <row r="7506" spans="73:82" ht="15.75">
      <c r="BU7506" s="8"/>
      <c r="BZ7506" s="8"/>
      <c r="CD7506" s="8"/>
    </row>
    <row r="7507" spans="73:82" ht="15.75">
      <c r="BU7507" s="8"/>
      <c r="BZ7507" s="8"/>
      <c r="CD7507" s="8"/>
    </row>
    <row r="7508" spans="73:82" ht="15.75">
      <c r="BU7508" s="8"/>
      <c r="BZ7508" s="8"/>
      <c r="CD7508" s="8"/>
    </row>
    <row r="7509" spans="73:82" ht="15.75">
      <c r="BU7509" s="8"/>
      <c r="BZ7509" s="8"/>
      <c r="CD7509" s="8"/>
    </row>
    <row r="7510" spans="73:82" ht="15.75">
      <c r="BU7510" s="8"/>
      <c r="BZ7510" s="8"/>
      <c r="CD7510" s="8"/>
    </row>
    <row r="7511" spans="73:82" ht="15.75">
      <c r="BU7511" s="8"/>
      <c r="BZ7511" s="8"/>
      <c r="CD7511" s="8"/>
    </row>
    <row r="7512" spans="73:82" ht="15.75">
      <c r="BU7512" s="8"/>
      <c r="BZ7512" s="8"/>
      <c r="CD7512" s="8"/>
    </row>
    <row r="7513" spans="73:82" ht="15.75">
      <c r="BU7513" s="8"/>
      <c r="BZ7513" s="8"/>
      <c r="CD7513" s="8"/>
    </row>
    <row r="7514" spans="73:82" ht="15.75">
      <c r="BU7514" s="8"/>
      <c r="BZ7514" s="8"/>
      <c r="CD7514" s="8"/>
    </row>
    <row r="7515" spans="73:82" ht="15.75">
      <c r="BU7515" s="8"/>
      <c r="BZ7515" s="8"/>
      <c r="CD7515" s="8"/>
    </row>
    <row r="7516" spans="73:82" ht="15.75">
      <c r="BU7516" s="8"/>
      <c r="BZ7516" s="8"/>
      <c r="CD7516" s="8"/>
    </row>
    <row r="7517" spans="73:82" ht="15.75">
      <c r="BU7517" s="8"/>
      <c r="BZ7517" s="8"/>
      <c r="CD7517" s="8"/>
    </row>
    <row r="7518" spans="73:82" ht="15.75">
      <c r="BU7518" s="8"/>
      <c r="BZ7518" s="8"/>
      <c r="CD7518" s="8"/>
    </row>
    <row r="7519" spans="73:82" ht="15.75">
      <c r="BU7519" s="8"/>
      <c r="BZ7519" s="8"/>
      <c r="CD7519" s="8"/>
    </row>
    <row r="7520" spans="73:82" ht="15.75">
      <c r="BU7520" s="8"/>
      <c r="BZ7520" s="8"/>
      <c r="CD7520" s="8"/>
    </row>
    <row r="7521" spans="73:82" ht="15.75">
      <c r="BU7521" s="8"/>
      <c r="BZ7521" s="8"/>
      <c r="CD7521" s="8"/>
    </row>
    <row r="7522" spans="73:82" ht="15.75">
      <c r="BU7522" s="8"/>
      <c r="BZ7522" s="8"/>
      <c r="CD7522" s="8"/>
    </row>
    <row r="7523" spans="73:82" ht="15.75">
      <c r="BU7523" s="8"/>
      <c r="BZ7523" s="8"/>
      <c r="CD7523" s="8"/>
    </row>
    <row r="7524" spans="73:82" ht="15.75">
      <c r="BU7524" s="8"/>
      <c r="BZ7524" s="8"/>
      <c r="CD7524" s="8"/>
    </row>
    <row r="7525" spans="73:82" ht="15.75">
      <c r="BU7525" s="8"/>
      <c r="BZ7525" s="8"/>
      <c r="CD7525" s="8"/>
    </row>
    <row r="7526" spans="73:82" ht="15.75">
      <c r="BU7526" s="8"/>
      <c r="BZ7526" s="8"/>
      <c r="CD7526" s="8"/>
    </row>
    <row r="7527" spans="73:82" ht="15.75">
      <c r="BU7527" s="8"/>
      <c r="BZ7527" s="8"/>
      <c r="CD7527" s="8"/>
    </row>
    <row r="7528" spans="73:82" ht="15.75">
      <c r="BU7528" s="8"/>
      <c r="BZ7528" s="8"/>
      <c r="CD7528" s="8"/>
    </row>
    <row r="7529" spans="73:82" ht="15.75">
      <c r="BU7529" s="8"/>
      <c r="BZ7529" s="8"/>
      <c r="CD7529" s="8"/>
    </row>
    <row r="7530" spans="73:82" ht="15.75">
      <c r="BU7530" s="8"/>
      <c r="BZ7530" s="8"/>
      <c r="CD7530" s="8"/>
    </row>
    <row r="7531" spans="73:82" ht="15.75">
      <c r="BU7531" s="8"/>
      <c r="BZ7531" s="8"/>
      <c r="CD7531" s="8"/>
    </row>
    <row r="7532" spans="73:82" ht="15.75">
      <c r="BU7532" s="8"/>
      <c r="BZ7532" s="8"/>
      <c r="CD7532" s="8"/>
    </row>
    <row r="7533" spans="73:82" ht="15.75">
      <c r="BU7533" s="8"/>
      <c r="BZ7533" s="8"/>
      <c r="CD7533" s="8"/>
    </row>
    <row r="7534" spans="73:82" ht="15.75">
      <c r="BU7534" s="8"/>
      <c r="BZ7534" s="8"/>
      <c r="CD7534" s="8"/>
    </row>
    <row r="7535" spans="73:82" ht="15.75">
      <c r="BU7535" s="8"/>
      <c r="BZ7535" s="8"/>
      <c r="CD7535" s="8"/>
    </row>
    <row r="7536" spans="73:82" ht="15.75">
      <c r="BU7536" s="8"/>
      <c r="BZ7536" s="8"/>
      <c r="CD7536" s="8"/>
    </row>
    <row r="7537" spans="73:82" ht="15.75">
      <c r="BU7537" s="8"/>
      <c r="BZ7537" s="8"/>
      <c r="CD7537" s="8"/>
    </row>
    <row r="7538" spans="73:82" ht="15.75">
      <c r="BU7538" s="8"/>
      <c r="BZ7538" s="8"/>
      <c r="CD7538" s="8"/>
    </row>
    <row r="7539" spans="73:82" ht="15.75">
      <c r="BU7539" s="8"/>
      <c r="BZ7539" s="8"/>
      <c r="CD7539" s="8"/>
    </row>
    <row r="7540" spans="73:82" ht="15.75">
      <c r="BU7540" s="8"/>
      <c r="BZ7540" s="8"/>
      <c r="CD7540" s="8"/>
    </row>
    <row r="7541" spans="73:82" ht="15.75">
      <c r="BU7541" s="8"/>
      <c r="BZ7541" s="8"/>
      <c r="CD7541" s="8"/>
    </row>
    <row r="7542" spans="73:82" ht="15.75">
      <c r="BU7542" s="8"/>
      <c r="BZ7542" s="8"/>
      <c r="CD7542" s="8"/>
    </row>
    <row r="7543" spans="73:82" ht="15.75">
      <c r="BU7543" s="8"/>
      <c r="BZ7543" s="8"/>
      <c r="CD7543" s="8"/>
    </row>
    <row r="7544" spans="73:82" ht="15.75">
      <c r="BU7544" s="8"/>
      <c r="BZ7544" s="8"/>
      <c r="CD7544" s="8"/>
    </row>
    <row r="7545" spans="73:82" ht="15.75">
      <c r="BU7545" s="8"/>
      <c r="BZ7545" s="8"/>
      <c r="CD7545" s="8"/>
    </row>
    <row r="7546" spans="73:82" ht="15.75">
      <c r="BU7546" s="8"/>
      <c r="BZ7546" s="8"/>
      <c r="CD7546" s="8"/>
    </row>
    <row r="7547" spans="73:82" ht="15.75">
      <c r="BU7547" s="8"/>
      <c r="BZ7547" s="8"/>
      <c r="CD7547" s="8"/>
    </row>
    <row r="7548" spans="73:82" ht="15.75">
      <c r="BU7548" s="8"/>
      <c r="BZ7548" s="8"/>
      <c r="CD7548" s="8"/>
    </row>
    <row r="7549" spans="73:82" ht="15.75">
      <c r="BU7549" s="8"/>
      <c r="BZ7549" s="8"/>
      <c r="CD7549" s="8"/>
    </row>
    <row r="7550" spans="73:82" ht="15.75">
      <c r="BU7550" s="8"/>
      <c r="BZ7550" s="8"/>
      <c r="CD7550" s="8"/>
    </row>
    <row r="7551" spans="73:82" ht="15.75">
      <c r="BU7551" s="8"/>
      <c r="BZ7551" s="8"/>
      <c r="CD7551" s="8"/>
    </row>
    <row r="7552" spans="73:82" ht="15.75">
      <c r="BU7552" s="8"/>
      <c r="BZ7552" s="8"/>
      <c r="CD7552" s="8"/>
    </row>
    <row r="7553" spans="73:82" ht="15.75">
      <c r="BU7553" s="8"/>
      <c r="BZ7553" s="8"/>
      <c r="CD7553" s="8"/>
    </row>
    <row r="7554" spans="73:82" ht="15.75">
      <c r="BU7554" s="8"/>
      <c r="BZ7554" s="8"/>
      <c r="CD7554" s="8"/>
    </row>
    <row r="7555" spans="73:82" ht="15.75">
      <c r="BU7555" s="8"/>
      <c r="BZ7555" s="8"/>
      <c r="CD7555" s="8"/>
    </row>
    <row r="7556" spans="73:82" ht="15.75">
      <c r="BU7556" s="8"/>
      <c r="BZ7556" s="8"/>
      <c r="CD7556" s="8"/>
    </row>
    <row r="7557" spans="73:82" ht="15.75">
      <c r="BU7557" s="8"/>
      <c r="BZ7557" s="8"/>
      <c r="CD7557" s="8"/>
    </row>
    <row r="7558" spans="73:82" ht="15.75">
      <c r="BU7558" s="8"/>
      <c r="BZ7558" s="8"/>
      <c r="CD7558" s="8"/>
    </row>
    <row r="7559" spans="73:82" ht="15.75">
      <c r="BU7559" s="8"/>
      <c r="BZ7559" s="8"/>
      <c r="CD7559" s="8"/>
    </row>
    <row r="7560" spans="73:82" ht="15.75">
      <c r="BU7560" s="8"/>
      <c r="BZ7560" s="8"/>
      <c r="CD7560" s="8"/>
    </row>
    <row r="7561" spans="73:82" ht="15.75">
      <c r="BU7561" s="8"/>
      <c r="BZ7561" s="8"/>
      <c r="CD7561" s="8"/>
    </row>
    <row r="7562" spans="73:82" ht="15.75">
      <c r="BU7562" s="8"/>
      <c r="BZ7562" s="8"/>
      <c r="CD7562" s="8"/>
    </row>
    <row r="7563" spans="73:82" ht="15.75">
      <c r="BU7563" s="8"/>
      <c r="BZ7563" s="8"/>
      <c r="CD7563" s="8"/>
    </row>
    <row r="7564" spans="73:82" ht="15.75">
      <c r="BU7564" s="8"/>
      <c r="BZ7564" s="8"/>
      <c r="CD7564" s="8"/>
    </row>
    <row r="7565" spans="73:82" ht="15.75">
      <c r="BU7565" s="8"/>
      <c r="BZ7565" s="8"/>
      <c r="CD7565" s="8"/>
    </row>
    <row r="7566" spans="73:82" ht="15.75">
      <c r="BU7566" s="8"/>
      <c r="BZ7566" s="8"/>
      <c r="CD7566" s="8"/>
    </row>
    <row r="7567" spans="73:82" ht="15.75">
      <c r="BU7567" s="8"/>
      <c r="BZ7567" s="8"/>
      <c r="CD7567" s="8"/>
    </row>
    <row r="7568" spans="73:82" ht="15.75">
      <c r="BU7568" s="8"/>
      <c r="BZ7568" s="8"/>
      <c r="CD7568" s="8"/>
    </row>
    <row r="7569" spans="73:82" ht="15.75">
      <c r="BU7569" s="8"/>
      <c r="BZ7569" s="8"/>
      <c r="CD7569" s="8"/>
    </row>
    <row r="7570" spans="73:82" ht="15.75">
      <c r="BU7570" s="8"/>
      <c r="BZ7570" s="8"/>
      <c r="CD7570" s="8"/>
    </row>
    <row r="7571" spans="73:82" ht="15.75">
      <c r="BU7571" s="8"/>
      <c r="BZ7571" s="8"/>
      <c r="CD7571" s="8"/>
    </row>
    <row r="7572" spans="73:82" ht="15.75">
      <c r="BU7572" s="8"/>
      <c r="BZ7572" s="8"/>
      <c r="CD7572" s="8"/>
    </row>
    <row r="7573" spans="73:82" ht="15.75">
      <c r="BU7573" s="8"/>
      <c r="BZ7573" s="8"/>
      <c r="CD7573" s="8"/>
    </row>
    <row r="7574" spans="73:82" ht="15.75">
      <c r="BU7574" s="8"/>
      <c r="BZ7574" s="8"/>
      <c r="CD7574" s="8"/>
    </row>
    <row r="7575" spans="73:82" ht="15.75">
      <c r="BU7575" s="8"/>
      <c r="BZ7575" s="8"/>
      <c r="CD7575" s="8"/>
    </row>
    <row r="7576" spans="73:82" ht="15.75">
      <c r="BU7576" s="8"/>
      <c r="BZ7576" s="8"/>
      <c r="CD7576" s="8"/>
    </row>
    <row r="7577" spans="73:82" ht="15.75">
      <c r="BU7577" s="8"/>
      <c r="BZ7577" s="8"/>
      <c r="CD7577" s="8"/>
    </row>
    <row r="7578" spans="73:82" ht="15.75">
      <c r="BU7578" s="8"/>
      <c r="BZ7578" s="8"/>
      <c r="CD7578" s="8"/>
    </row>
    <row r="7579" spans="73:82" ht="15.75">
      <c r="BU7579" s="8"/>
      <c r="BZ7579" s="8"/>
      <c r="CD7579" s="8"/>
    </row>
    <row r="7580" spans="73:82" ht="15.75">
      <c r="BU7580" s="8"/>
      <c r="BZ7580" s="8"/>
      <c r="CD7580" s="8"/>
    </row>
    <row r="7581" spans="73:82" ht="15.75">
      <c r="BU7581" s="8"/>
      <c r="BZ7581" s="8"/>
      <c r="CD7581" s="8"/>
    </row>
    <row r="7582" spans="73:82" ht="15.75">
      <c r="BU7582" s="8"/>
      <c r="BZ7582" s="8"/>
      <c r="CD7582" s="8"/>
    </row>
    <row r="7583" spans="73:82" ht="15.75">
      <c r="BU7583" s="8"/>
      <c r="BZ7583" s="8"/>
      <c r="CD7583" s="8"/>
    </row>
    <row r="7584" spans="73:82" ht="15.75">
      <c r="BU7584" s="8"/>
      <c r="BZ7584" s="8"/>
      <c r="CD7584" s="8"/>
    </row>
    <row r="7585" spans="73:82" ht="15.75">
      <c r="BU7585" s="8"/>
      <c r="BZ7585" s="8"/>
      <c r="CD7585" s="8"/>
    </row>
    <row r="7586" spans="73:82" ht="15.75">
      <c r="BU7586" s="8"/>
      <c r="BZ7586" s="8"/>
      <c r="CD7586" s="8"/>
    </row>
    <row r="7587" spans="73:82" ht="15.75">
      <c r="BU7587" s="8"/>
      <c r="BZ7587" s="8"/>
      <c r="CD7587" s="8"/>
    </row>
    <row r="7588" spans="73:82" ht="15.75">
      <c r="BU7588" s="8"/>
      <c r="BZ7588" s="8"/>
      <c r="CD7588" s="8"/>
    </row>
    <row r="7589" spans="73:82" ht="15.75">
      <c r="BU7589" s="8"/>
      <c r="BZ7589" s="8"/>
      <c r="CD7589" s="8"/>
    </row>
    <row r="7590" spans="73:82" ht="15.75">
      <c r="BU7590" s="8"/>
      <c r="BZ7590" s="8"/>
      <c r="CD7590" s="8"/>
    </row>
    <row r="7591" spans="73:82" ht="15.75">
      <c r="BU7591" s="8"/>
      <c r="BZ7591" s="8"/>
      <c r="CD7591" s="8"/>
    </row>
    <row r="7592" spans="73:82" ht="15.75">
      <c r="BU7592" s="8"/>
      <c r="BZ7592" s="8"/>
      <c r="CD7592" s="8"/>
    </row>
    <row r="7593" spans="73:82" ht="15.75">
      <c r="BU7593" s="8"/>
      <c r="BZ7593" s="8"/>
      <c r="CD7593" s="8"/>
    </row>
    <row r="7594" spans="73:82" ht="15.75">
      <c r="BU7594" s="8"/>
      <c r="BZ7594" s="8"/>
      <c r="CD7594" s="8"/>
    </row>
    <row r="7595" spans="73:82" ht="15.75">
      <c r="BU7595" s="8"/>
      <c r="BZ7595" s="8"/>
      <c r="CD7595" s="8"/>
    </row>
    <row r="7596" spans="73:82" ht="15.75">
      <c r="BU7596" s="8"/>
      <c r="BZ7596" s="8"/>
      <c r="CD7596" s="8"/>
    </row>
    <row r="7597" spans="73:82" ht="15.75">
      <c r="BU7597" s="8"/>
      <c r="BZ7597" s="8"/>
      <c r="CD7597" s="8"/>
    </row>
    <row r="7598" spans="73:82" ht="15.75">
      <c r="BU7598" s="8"/>
      <c r="BZ7598" s="8"/>
      <c r="CD7598" s="8"/>
    </row>
    <row r="7599" spans="73:82" ht="15.75">
      <c r="BU7599" s="8"/>
      <c r="BZ7599" s="8"/>
      <c r="CD7599" s="8"/>
    </row>
    <row r="7600" spans="73:82" ht="15.75">
      <c r="BU7600" s="8"/>
      <c r="BZ7600" s="8"/>
      <c r="CD7600" s="8"/>
    </row>
    <row r="7601" spans="73:82" ht="15.75">
      <c r="BU7601" s="8"/>
      <c r="BZ7601" s="8"/>
      <c r="CD7601" s="8"/>
    </row>
    <row r="7602" spans="73:82" ht="15.75">
      <c r="BU7602" s="8"/>
      <c r="BZ7602" s="8"/>
      <c r="CD7602" s="8"/>
    </row>
    <row r="7603" spans="73:82" ht="15.75">
      <c r="BU7603" s="8"/>
      <c r="BZ7603" s="8"/>
      <c r="CD7603" s="8"/>
    </row>
    <row r="7604" spans="73:82" ht="15.75">
      <c r="BU7604" s="8"/>
      <c r="BZ7604" s="8"/>
      <c r="CD7604" s="8"/>
    </row>
    <row r="7605" spans="73:82" ht="15.75">
      <c r="BU7605" s="8"/>
      <c r="BZ7605" s="8"/>
      <c r="CD7605" s="8"/>
    </row>
    <row r="7606" spans="73:82" ht="15.75">
      <c r="BU7606" s="8"/>
      <c r="BZ7606" s="8"/>
      <c r="CD7606" s="8"/>
    </row>
    <row r="7607" spans="73:82" ht="15.75">
      <c r="BU7607" s="8"/>
      <c r="BZ7607" s="8"/>
      <c r="CD7607" s="8"/>
    </row>
    <row r="7608" spans="73:82" ht="15.75">
      <c r="BU7608" s="8"/>
      <c r="BZ7608" s="8"/>
      <c r="CD7608" s="8"/>
    </row>
    <row r="7609" spans="73:82" ht="15.75">
      <c r="BU7609" s="8"/>
      <c r="BZ7609" s="8"/>
      <c r="CD7609" s="8"/>
    </row>
    <row r="7610" spans="73:82" ht="15.75">
      <c r="BU7610" s="8"/>
      <c r="BZ7610" s="8"/>
      <c r="CD7610" s="8"/>
    </row>
    <row r="7611" spans="73:82" ht="15.75">
      <c r="BU7611" s="8"/>
      <c r="BZ7611" s="8"/>
      <c r="CD7611" s="8"/>
    </row>
    <row r="7612" spans="73:82" ht="15.75">
      <c r="BU7612" s="8"/>
      <c r="BZ7612" s="8"/>
      <c r="CD7612" s="8"/>
    </row>
    <row r="7613" spans="73:82" ht="15.75">
      <c r="BU7613" s="8"/>
      <c r="BZ7613" s="8"/>
      <c r="CD7613" s="8"/>
    </row>
    <row r="7614" spans="73:82" ht="15.75">
      <c r="BU7614" s="8"/>
      <c r="BZ7614" s="8"/>
      <c r="CD7614" s="8"/>
    </row>
    <row r="7615" spans="73:82" ht="15.75">
      <c r="BU7615" s="8"/>
      <c r="BZ7615" s="8"/>
      <c r="CD7615" s="8"/>
    </row>
    <row r="7616" spans="73:82" ht="15.75">
      <c r="BU7616" s="8"/>
      <c r="BZ7616" s="8"/>
      <c r="CD7616" s="8"/>
    </row>
    <row r="7617" spans="73:82" ht="15.75">
      <c r="BU7617" s="8"/>
      <c r="BZ7617" s="8"/>
      <c r="CD7617" s="8"/>
    </row>
    <row r="7618" spans="73:82" ht="15.75">
      <c r="BU7618" s="8"/>
      <c r="BZ7618" s="8"/>
      <c r="CD7618" s="8"/>
    </row>
    <row r="7619" spans="73:82" ht="15.75">
      <c r="BU7619" s="8"/>
      <c r="BZ7619" s="8"/>
      <c r="CD7619" s="8"/>
    </row>
    <row r="7620" spans="73:82" ht="15.75">
      <c r="BU7620" s="8"/>
      <c r="BZ7620" s="8"/>
      <c r="CD7620" s="8"/>
    </row>
    <row r="7621" spans="73:82" ht="15.75">
      <c r="BU7621" s="8"/>
      <c r="BZ7621" s="8"/>
      <c r="CD7621" s="8"/>
    </row>
    <row r="7622" spans="73:82" ht="15.75">
      <c r="BU7622" s="8"/>
      <c r="BZ7622" s="8"/>
      <c r="CD7622" s="8"/>
    </row>
    <row r="7623" spans="73:82" ht="15.75">
      <c r="BU7623" s="8"/>
      <c r="BZ7623" s="8"/>
      <c r="CD7623" s="8"/>
    </row>
    <row r="7624" spans="73:82" ht="15.75">
      <c r="BU7624" s="8"/>
      <c r="BZ7624" s="8"/>
      <c r="CD7624" s="8"/>
    </row>
    <row r="7625" spans="73:82" ht="15.75">
      <c r="BU7625" s="8"/>
      <c r="BZ7625" s="8"/>
      <c r="CD7625" s="8"/>
    </row>
    <row r="7626" spans="73:82" ht="15.75">
      <c r="BU7626" s="8"/>
      <c r="BZ7626" s="8"/>
      <c r="CD7626" s="8"/>
    </row>
    <row r="7627" spans="73:82" ht="15.75">
      <c r="BU7627" s="8"/>
      <c r="BZ7627" s="8"/>
      <c r="CD7627" s="8"/>
    </row>
    <row r="7628" spans="73:82" ht="15.75">
      <c r="BU7628" s="8"/>
      <c r="BZ7628" s="8"/>
      <c r="CD7628" s="8"/>
    </row>
    <row r="7629" spans="73:82" ht="15.75">
      <c r="BU7629" s="8"/>
      <c r="BZ7629" s="8"/>
      <c r="CD7629" s="8"/>
    </row>
    <row r="7630" spans="73:82" ht="15.75">
      <c r="BU7630" s="8"/>
      <c r="BZ7630" s="8"/>
      <c r="CD7630" s="8"/>
    </row>
    <row r="7631" spans="73:82" ht="15.75">
      <c r="BU7631" s="8"/>
      <c r="BZ7631" s="8"/>
      <c r="CD7631" s="8"/>
    </row>
    <row r="7632" spans="73:82" ht="15.75">
      <c r="BU7632" s="8"/>
      <c r="BZ7632" s="8"/>
      <c r="CD7632" s="8"/>
    </row>
    <row r="7633" spans="73:82" ht="15.75">
      <c r="BU7633" s="8"/>
      <c r="BZ7633" s="8"/>
      <c r="CD7633" s="8"/>
    </row>
    <row r="7634" spans="73:82" ht="15.75">
      <c r="BU7634" s="8"/>
      <c r="BZ7634" s="8"/>
      <c r="CD7634" s="8"/>
    </row>
    <row r="7635" spans="73:82" ht="15.75">
      <c r="BU7635" s="8"/>
      <c r="BZ7635" s="8"/>
      <c r="CD7635" s="8"/>
    </row>
    <row r="7636" spans="73:82" ht="15.75">
      <c r="BU7636" s="8"/>
      <c r="BZ7636" s="8"/>
      <c r="CD7636" s="8"/>
    </row>
    <row r="7637" spans="73:82" ht="15.75">
      <c r="BU7637" s="8"/>
      <c r="BZ7637" s="8"/>
      <c r="CD7637" s="8"/>
    </row>
    <row r="7638" spans="73:82" ht="15.75">
      <c r="BU7638" s="8"/>
      <c r="BZ7638" s="8"/>
      <c r="CD7638" s="8"/>
    </row>
    <row r="7639" spans="73:82" ht="15.75">
      <c r="BU7639" s="8"/>
      <c r="BZ7639" s="8"/>
      <c r="CD7639" s="8"/>
    </row>
    <row r="7640" spans="73:82" ht="15.75">
      <c r="BU7640" s="8"/>
      <c r="BZ7640" s="8"/>
      <c r="CD7640" s="8"/>
    </row>
    <row r="7641" spans="73:82" ht="15.75">
      <c r="BU7641" s="8"/>
      <c r="BZ7641" s="8"/>
      <c r="CD7641" s="8"/>
    </row>
    <row r="7642" spans="73:82" ht="15.75">
      <c r="BU7642" s="8"/>
      <c r="BZ7642" s="8"/>
      <c r="CD7642" s="8"/>
    </row>
    <row r="7643" spans="73:82" ht="15.75">
      <c r="BU7643" s="8"/>
      <c r="BZ7643" s="8"/>
      <c r="CD7643" s="8"/>
    </row>
    <row r="7644" spans="73:82" ht="15.75">
      <c r="BU7644" s="8"/>
      <c r="BZ7644" s="8"/>
      <c r="CD7644" s="8"/>
    </row>
    <row r="7645" spans="73:82" ht="15.75">
      <c r="BU7645" s="8"/>
      <c r="BZ7645" s="8"/>
      <c r="CD7645" s="8"/>
    </row>
    <row r="7646" spans="73:82" ht="15.75">
      <c r="BU7646" s="8"/>
      <c r="BZ7646" s="8"/>
      <c r="CD7646" s="8"/>
    </row>
    <row r="7647" spans="73:82" ht="15.75">
      <c r="BU7647" s="8"/>
      <c r="BZ7647" s="8"/>
      <c r="CD7647" s="8"/>
    </row>
    <row r="7648" spans="73:82" ht="15.75">
      <c r="BU7648" s="8"/>
      <c r="BZ7648" s="8"/>
      <c r="CD7648" s="8"/>
    </row>
    <row r="7649" spans="73:82" ht="15.75">
      <c r="BU7649" s="8"/>
      <c r="BZ7649" s="8"/>
      <c r="CD7649" s="8"/>
    </row>
    <row r="7650" spans="73:82" ht="15.75">
      <c r="BU7650" s="8"/>
      <c r="BZ7650" s="8"/>
      <c r="CD7650" s="8"/>
    </row>
    <row r="7651" spans="73:82" ht="15.75">
      <c r="BU7651" s="8"/>
      <c r="BZ7651" s="8"/>
      <c r="CD7651" s="8"/>
    </row>
    <row r="7652" spans="73:82" ht="15.75">
      <c r="BU7652" s="8"/>
      <c r="BZ7652" s="8"/>
      <c r="CD7652" s="8"/>
    </row>
    <row r="7653" spans="73:82" ht="15.75">
      <c r="BU7653" s="8"/>
      <c r="BZ7653" s="8"/>
      <c r="CD7653" s="8"/>
    </row>
    <row r="7654" spans="73:82" ht="15.75">
      <c r="BU7654" s="8"/>
      <c r="BZ7654" s="8"/>
      <c r="CD7654" s="8"/>
    </row>
    <row r="7655" spans="73:82" ht="15.75">
      <c r="BU7655" s="8"/>
      <c r="BZ7655" s="8"/>
      <c r="CD7655" s="8"/>
    </row>
    <row r="7656" spans="73:82" ht="15.75">
      <c r="BU7656" s="8"/>
      <c r="BZ7656" s="8"/>
      <c r="CD7656" s="8"/>
    </row>
    <row r="7657" spans="73:82" ht="15.75">
      <c r="BU7657" s="8"/>
      <c r="BZ7657" s="8"/>
      <c r="CD7657" s="8"/>
    </row>
    <row r="7658" spans="73:82" ht="15.75">
      <c r="BU7658" s="8"/>
      <c r="BZ7658" s="8"/>
      <c r="CD7658" s="8"/>
    </row>
    <row r="7659" spans="73:82" ht="15.75">
      <c r="BU7659" s="8"/>
      <c r="BZ7659" s="8"/>
      <c r="CD7659" s="8"/>
    </row>
    <row r="7660" spans="73:82" ht="15.75">
      <c r="BU7660" s="8"/>
      <c r="BZ7660" s="8"/>
      <c r="CD7660" s="8"/>
    </row>
    <row r="7661" spans="73:82" ht="15.75">
      <c r="BU7661" s="8"/>
      <c r="BZ7661" s="8"/>
      <c r="CD7661" s="8"/>
    </row>
    <row r="7662" spans="73:82" ht="15.75">
      <c r="BU7662" s="8"/>
      <c r="BZ7662" s="8"/>
      <c r="CD7662" s="8"/>
    </row>
    <row r="7663" spans="73:82" ht="15.75">
      <c r="BU7663" s="8"/>
      <c r="BZ7663" s="8"/>
      <c r="CD7663" s="8"/>
    </row>
    <row r="7664" spans="73:82" ht="15.75">
      <c r="BU7664" s="8"/>
      <c r="BZ7664" s="8"/>
      <c r="CD7664" s="8"/>
    </row>
    <row r="7665" spans="73:82" ht="15.75">
      <c r="BU7665" s="8"/>
      <c r="BZ7665" s="8"/>
      <c r="CD7665" s="8"/>
    </row>
    <row r="7666" spans="73:82" ht="15.75">
      <c r="BU7666" s="8"/>
      <c r="BZ7666" s="8"/>
      <c r="CD7666" s="8"/>
    </row>
    <row r="7667" spans="73:82" ht="15.75">
      <c r="BU7667" s="8"/>
      <c r="BZ7667" s="8"/>
      <c r="CD7667" s="8"/>
    </row>
    <row r="7668" spans="73:82" ht="15.75">
      <c r="BU7668" s="8"/>
      <c r="BZ7668" s="8"/>
      <c r="CD7668" s="8"/>
    </row>
    <row r="7669" spans="73:82" ht="15.75">
      <c r="BU7669" s="8"/>
      <c r="BZ7669" s="8"/>
      <c r="CD7669" s="8"/>
    </row>
    <row r="7670" spans="73:82" ht="15.75">
      <c r="BU7670" s="8"/>
      <c r="BZ7670" s="8"/>
      <c r="CD7670" s="8"/>
    </row>
    <row r="7671" spans="73:82" ht="15.75">
      <c r="BU7671" s="8"/>
      <c r="BZ7671" s="8"/>
      <c r="CD7671" s="8"/>
    </row>
    <row r="7672" spans="73:82" ht="15.75">
      <c r="BU7672" s="8"/>
      <c r="BZ7672" s="8"/>
      <c r="CD7672" s="8"/>
    </row>
    <row r="7673" spans="73:82" ht="15.75">
      <c r="BU7673" s="8"/>
      <c r="BZ7673" s="8"/>
      <c r="CD7673" s="8"/>
    </row>
    <row r="7674" spans="73:82" ht="15.75">
      <c r="BU7674" s="8"/>
      <c r="BZ7674" s="8"/>
      <c r="CD7674" s="8"/>
    </row>
    <row r="7675" spans="73:82" ht="15.75">
      <c r="BU7675" s="8"/>
      <c r="BZ7675" s="8"/>
      <c r="CD7675" s="8"/>
    </row>
    <row r="7676" spans="73:82" ht="15.75">
      <c r="BU7676" s="8"/>
      <c r="BZ7676" s="8"/>
      <c r="CD7676" s="8"/>
    </row>
    <row r="7677" spans="73:82" ht="15.75">
      <c r="BU7677" s="8"/>
      <c r="BZ7677" s="8"/>
      <c r="CD7677" s="8"/>
    </row>
    <row r="7678" spans="73:82" ht="15.75">
      <c r="BU7678" s="8"/>
      <c r="BZ7678" s="8"/>
      <c r="CD7678" s="8"/>
    </row>
    <row r="7679" spans="73:82" ht="15.75">
      <c r="BU7679" s="8"/>
      <c r="BZ7679" s="8"/>
      <c r="CD7679" s="8"/>
    </row>
    <row r="7680" spans="73:82" ht="15.75">
      <c r="BU7680" s="8"/>
      <c r="BZ7680" s="8"/>
      <c r="CD7680" s="8"/>
    </row>
    <row r="7681" spans="73:82" ht="15.75">
      <c r="BU7681" s="8"/>
      <c r="BZ7681" s="8"/>
      <c r="CD7681" s="8"/>
    </row>
    <row r="7682" spans="73:82" ht="15.75">
      <c r="BU7682" s="8"/>
      <c r="BZ7682" s="8"/>
      <c r="CD7682" s="8"/>
    </row>
    <row r="7683" spans="73:82" ht="15.75">
      <c r="BU7683" s="8"/>
      <c r="BZ7683" s="8"/>
      <c r="CD7683" s="8"/>
    </row>
    <row r="7684" spans="73:82" ht="15.75">
      <c r="BU7684" s="8"/>
      <c r="BZ7684" s="8"/>
      <c r="CD7684" s="8"/>
    </row>
    <row r="7685" spans="73:82" ht="15.75">
      <c r="BU7685" s="8"/>
      <c r="BZ7685" s="8"/>
      <c r="CD7685" s="8"/>
    </row>
    <row r="7686" spans="73:82" ht="15.75">
      <c r="BU7686" s="8"/>
      <c r="BZ7686" s="8"/>
      <c r="CD7686" s="8"/>
    </row>
    <row r="7687" spans="73:82" ht="15.75">
      <c r="BU7687" s="8"/>
      <c r="BZ7687" s="8"/>
      <c r="CD7687" s="8"/>
    </row>
    <row r="7688" spans="73:82" ht="15.75">
      <c r="BU7688" s="8"/>
      <c r="BZ7688" s="8"/>
      <c r="CD7688" s="8"/>
    </row>
    <row r="7689" spans="73:82" ht="15.75">
      <c r="BU7689" s="8"/>
      <c r="BZ7689" s="8"/>
      <c r="CD7689" s="8"/>
    </row>
    <row r="7690" spans="73:82" ht="15.75">
      <c r="BU7690" s="8"/>
      <c r="BZ7690" s="8"/>
      <c r="CD7690" s="8"/>
    </row>
    <row r="7691" spans="73:82" ht="15.75">
      <c r="BU7691" s="8"/>
      <c r="BZ7691" s="8"/>
      <c r="CD7691" s="8"/>
    </row>
    <row r="7692" spans="73:82" ht="15.75">
      <c r="BU7692" s="8"/>
      <c r="BZ7692" s="8"/>
      <c r="CD7692" s="8"/>
    </row>
    <row r="7693" spans="73:82" ht="15.75">
      <c r="BU7693" s="8"/>
      <c r="BZ7693" s="8"/>
      <c r="CD7693" s="8"/>
    </row>
    <row r="7694" spans="73:82" ht="15.75">
      <c r="BU7694" s="8"/>
      <c r="BZ7694" s="8"/>
      <c r="CD7694" s="8"/>
    </row>
    <row r="7695" spans="73:82" ht="15.75">
      <c r="BU7695" s="8"/>
      <c r="BZ7695" s="8"/>
      <c r="CD7695" s="8"/>
    </row>
    <row r="7696" spans="73:82" ht="15.75">
      <c r="BU7696" s="8"/>
      <c r="BZ7696" s="8"/>
      <c r="CD7696" s="8"/>
    </row>
    <row r="7697" spans="73:82" ht="15.75">
      <c r="BU7697" s="8"/>
      <c r="BZ7697" s="8"/>
      <c r="CD7697" s="8"/>
    </row>
    <row r="7698" spans="73:82" ht="15.75">
      <c r="BU7698" s="8"/>
      <c r="BZ7698" s="8"/>
      <c r="CD7698" s="8"/>
    </row>
    <row r="7699" spans="73:82" ht="15.75">
      <c r="BU7699" s="8"/>
      <c r="BZ7699" s="8"/>
      <c r="CD7699" s="8"/>
    </row>
    <row r="7700" spans="73:82" ht="15.75">
      <c r="BU7700" s="8"/>
      <c r="BZ7700" s="8"/>
      <c r="CD7700" s="8"/>
    </row>
    <row r="7701" spans="73:82" ht="15.75">
      <c r="BU7701" s="8"/>
      <c r="BZ7701" s="8"/>
      <c r="CD7701" s="8"/>
    </row>
    <row r="7702" spans="73:82" ht="15.75">
      <c r="BU7702" s="8"/>
      <c r="BZ7702" s="8"/>
      <c r="CD7702" s="8"/>
    </row>
    <row r="7703" spans="73:82" ht="15.75">
      <c r="BU7703" s="8"/>
      <c r="BZ7703" s="8"/>
      <c r="CD7703" s="8"/>
    </row>
    <row r="7704" spans="73:82" ht="15.75">
      <c r="BU7704" s="8"/>
      <c r="BZ7704" s="8"/>
      <c r="CD7704" s="8"/>
    </row>
    <row r="7705" spans="73:82" ht="15.75">
      <c r="BU7705" s="8"/>
      <c r="BZ7705" s="8"/>
      <c r="CD7705" s="8"/>
    </row>
    <row r="7706" spans="73:82" ht="15.75">
      <c r="BU7706" s="8"/>
      <c r="BZ7706" s="8"/>
      <c r="CD7706" s="8"/>
    </row>
    <row r="7707" spans="73:82" ht="15.75">
      <c r="BU7707" s="8"/>
      <c r="BZ7707" s="8"/>
      <c r="CD7707" s="8"/>
    </row>
    <row r="7708" spans="73:82" ht="15.75">
      <c r="BU7708" s="8"/>
      <c r="BZ7708" s="8"/>
      <c r="CD7708" s="8"/>
    </row>
    <row r="7709" spans="73:82" ht="15.75">
      <c r="BU7709" s="8"/>
      <c r="BZ7709" s="8"/>
      <c r="CD7709" s="8"/>
    </row>
    <row r="7710" spans="73:82" ht="15.75">
      <c r="BU7710" s="8"/>
      <c r="BZ7710" s="8"/>
      <c r="CD7710" s="8"/>
    </row>
    <row r="7711" spans="73:82" ht="15.75">
      <c r="BU7711" s="8"/>
      <c r="BZ7711" s="8"/>
      <c r="CD7711" s="8"/>
    </row>
    <row r="7712" spans="73:82" ht="15.75">
      <c r="BU7712" s="8"/>
      <c r="BZ7712" s="8"/>
      <c r="CD7712" s="8"/>
    </row>
    <row r="7713" spans="73:82" ht="15.75">
      <c r="BU7713" s="8"/>
      <c r="BZ7713" s="8"/>
      <c r="CD7713" s="8"/>
    </row>
    <row r="7714" spans="73:82" ht="15.75">
      <c r="BU7714" s="8"/>
      <c r="BZ7714" s="8"/>
      <c r="CD7714" s="8"/>
    </row>
    <row r="7715" spans="73:82" ht="15.75">
      <c r="BU7715" s="8"/>
      <c r="BZ7715" s="8"/>
      <c r="CD7715" s="8"/>
    </row>
    <row r="7716" spans="73:82" ht="15.75">
      <c r="BU7716" s="8"/>
      <c r="BZ7716" s="8"/>
      <c r="CD7716" s="8"/>
    </row>
    <row r="7717" spans="73:82" ht="15.75">
      <c r="BU7717" s="8"/>
      <c r="BZ7717" s="8"/>
      <c r="CD7717" s="8"/>
    </row>
    <row r="7718" spans="73:82" ht="15.75">
      <c r="BU7718" s="8"/>
      <c r="BZ7718" s="8"/>
      <c r="CD7718" s="8"/>
    </row>
    <row r="7719" spans="73:82" ht="15.75">
      <c r="BU7719" s="8"/>
      <c r="BZ7719" s="8"/>
      <c r="CD7719" s="8"/>
    </row>
    <row r="7720" spans="73:82" ht="15.75">
      <c r="BU7720" s="8"/>
      <c r="BZ7720" s="8"/>
      <c r="CD7720" s="8"/>
    </row>
    <row r="7721" spans="73:82" ht="15.75">
      <c r="BU7721" s="8"/>
      <c r="BZ7721" s="8"/>
      <c r="CD7721" s="8"/>
    </row>
    <row r="7722" spans="73:82" ht="15.75">
      <c r="BU7722" s="8"/>
      <c r="BZ7722" s="8"/>
      <c r="CD7722" s="8"/>
    </row>
    <row r="7723" spans="73:82" ht="15.75">
      <c r="BU7723" s="8"/>
      <c r="BZ7723" s="8"/>
      <c r="CD7723" s="8"/>
    </row>
    <row r="7724" spans="73:82" ht="15.75">
      <c r="BU7724" s="8"/>
      <c r="BZ7724" s="8"/>
      <c r="CD7724" s="8"/>
    </row>
    <row r="7725" spans="73:82" ht="15.75">
      <c r="BU7725" s="8"/>
      <c r="BZ7725" s="8"/>
      <c r="CD7725" s="8"/>
    </row>
    <row r="7726" spans="73:82" ht="15.75">
      <c r="BU7726" s="8"/>
      <c r="BZ7726" s="8"/>
      <c r="CD7726" s="8"/>
    </row>
    <row r="7727" spans="73:82" ht="15.75">
      <c r="BU7727" s="8"/>
      <c r="BZ7727" s="8"/>
      <c r="CD7727" s="8"/>
    </row>
    <row r="7728" spans="73:82" ht="15.75">
      <c r="BU7728" s="8"/>
      <c r="BZ7728" s="8"/>
      <c r="CD7728" s="8"/>
    </row>
    <row r="7729" spans="73:82" ht="15.75">
      <c r="BU7729" s="8"/>
      <c r="BZ7729" s="8"/>
      <c r="CD7729" s="8"/>
    </row>
    <row r="7730" spans="73:82" ht="15.75">
      <c r="BU7730" s="8"/>
      <c r="BZ7730" s="8"/>
      <c r="CD7730" s="8"/>
    </row>
    <row r="7731" spans="73:82" ht="15.75">
      <c r="BU7731" s="8"/>
      <c r="BZ7731" s="8"/>
      <c r="CD7731" s="8"/>
    </row>
    <row r="7732" spans="73:82" ht="15.75">
      <c r="BU7732" s="8"/>
      <c r="BZ7732" s="8"/>
      <c r="CD7732" s="8"/>
    </row>
    <row r="7733" spans="73:82" ht="15.75">
      <c r="BU7733" s="8"/>
      <c r="BZ7733" s="8"/>
      <c r="CD7733" s="8"/>
    </row>
    <row r="7734" spans="73:82" ht="15.75">
      <c r="BU7734" s="8"/>
      <c r="BZ7734" s="8"/>
      <c r="CD7734" s="8"/>
    </row>
    <row r="7735" spans="73:82" ht="15.75">
      <c r="BU7735" s="8"/>
      <c r="BZ7735" s="8"/>
      <c r="CD7735" s="8"/>
    </row>
    <row r="7736" spans="73:82" ht="15.75">
      <c r="BU7736" s="8"/>
      <c r="BZ7736" s="8"/>
      <c r="CD7736" s="8"/>
    </row>
    <row r="7737" spans="73:82" ht="15.75">
      <c r="BU7737" s="8"/>
      <c r="BZ7737" s="8"/>
      <c r="CD7737" s="8"/>
    </row>
    <row r="7738" spans="73:82" ht="15.75">
      <c r="BU7738" s="8"/>
      <c r="BZ7738" s="8"/>
      <c r="CD7738" s="8"/>
    </row>
    <row r="7739" spans="73:82" ht="15.75">
      <c r="BU7739" s="8"/>
      <c r="BZ7739" s="8"/>
      <c r="CD7739" s="8"/>
    </row>
    <row r="7740" spans="73:82" ht="15.75">
      <c r="BU7740" s="8"/>
      <c r="BZ7740" s="8"/>
      <c r="CD7740" s="8"/>
    </row>
    <row r="7741" spans="73:82" ht="15.75">
      <c r="BU7741" s="8"/>
      <c r="BZ7741" s="8"/>
      <c r="CD7741" s="8"/>
    </row>
    <row r="7742" spans="73:82" ht="15.75">
      <c r="BU7742" s="8"/>
      <c r="BZ7742" s="8"/>
      <c r="CD7742" s="8"/>
    </row>
    <row r="7743" spans="73:82" ht="15.75">
      <c r="BU7743" s="8"/>
      <c r="BZ7743" s="8"/>
      <c r="CD7743" s="8"/>
    </row>
    <row r="7744" spans="73:82" ht="15.75">
      <c r="BU7744" s="8"/>
      <c r="BZ7744" s="8"/>
      <c r="CD7744" s="8"/>
    </row>
    <row r="7745" spans="73:82" ht="15.75">
      <c r="BU7745" s="8"/>
      <c r="BZ7745" s="8"/>
      <c r="CD7745" s="8"/>
    </row>
    <row r="7746" spans="73:82" ht="15.75">
      <c r="BU7746" s="8"/>
      <c r="BZ7746" s="8"/>
      <c r="CD7746" s="8"/>
    </row>
    <row r="7747" spans="73:82" ht="15.75">
      <c r="BU7747" s="8"/>
      <c r="BZ7747" s="8"/>
      <c r="CD7747" s="8"/>
    </row>
    <row r="7748" spans="73:82" ht="15.75">
      <c r="BU7748" s="8"/>
      <c r="BZ7748" s="8"/>
      <c r="CD7748" s="8"/>
    </row>
    <row r="7749" spans="73:82" ht="15.75">
      <c r="BU7749" s="8"/>
      <c r="BZ7749" s="8"/>
      <c r="CD7749" s="8"/>
    </row>
    <row r="7750" spans="73:82" ht="15.75">
      <c r="BU7750" s="8"/>
      <c r="BZ7750" s="8"/>
      <c r="CD7750" s="8"/>
    </row>
    <row r="7751" spans="73:82" ht="15.75">
      <c r="BU7751" s="8"/>
      <c r="BZ7751" s="8"/>
      <c r="CD7751" s="8"/>
    </row>
    <row r="7752" spans="73:82" ht="15.75">
      <c r="BU7752" s="8"/>
      <c r="BZ7752" s="8"/>
      <c r="CD7752" s="8"/>
    </row>
    <row r="7753" spans="73:82" ht="15.75">
      <c r="BU7753" s="8"/>
      <c r="BZ7753" s="8"/>
      <c r="CD7753" s="8"/>
    </row>
    <row r="7754" spans="73:82" ht="15.75">
      <c r="BU7754" s="8"/>
      <c r="BZ7754" s="8"/>
      <c r="CD7754" s="8"/>
    </row>
    <row r="7755" spans="73:82" ht="15.75">
      <c r="BU7755" s="8"/>
      <c r="BZ7755" s="8"/>
      <c r="CD7755" s="8"/>
    </row>
    <row r="7756" spans="73:82" ht="15.75">
      <c r="BU7756" s="8"/>
      <c r="BZ7756" s="8"/>
      <c r="CD7756" s="8"/>
    </row>
    <row r="7757" spans="73:82" ht="15.75">
      <c r="BU7757" s="8"/>
      <c r="BZ7757" s="8"/>
      <c r="CD7757" s="8"/>
    </row>
    <row r="7758" spans="73:82" ht="15.75">
      <c r="BU7758" s="8"/>
      <c r="BZ7758" s="8"/>
      <c r="CD7758" s="8"/>
    </row>
    <row r="7759" spans="73:82" ht="15.75">
      <c r="BU7759" s="8"/>
      <c r="BZ7759" s="8"/>
      <c r="CD7759" s="8"/>
    </row>
    <row r="7760" spans="73:82" ht="15.75">
      <c r="BU7760" s="8"/>
      <c r="BZ7760" s="8"/>
      <c r="CD7760" s="8"/>
    </row>
    <row r="7761" spans="73:82" ht="15.75">
      <c r="BU7761" s="8"/>
      <c r="BZ7761" s="8"/>
      <c r="CD7761" s="8"/>
    </row>
    <row r="7762" spans="73:82" ht="15.75">
      <c r="BU7762" s="8"/>
      <c r="BZ7762" s="8"/>
      <c r="CD7762" s="8"/>
    </row>
    <row r="7763" spans="73:82" ht="15.75">
      <c r="BU7763" s="8"/>
      <c r="BZ7763" s="8"/>
      <c r="CD7763" s="8"/>
    </row>
    <row r="7764" spans="73:82" ht="15.75">
      <c r="BU7764" s="8"/>
      <c r="BZ7764" s="8"/>
      <c r="CD7764" s="8"/>
    </row>
    <row r="7765" spans="73:82" ht="15.75">
      <c r="BU7765" s="8"/>
      <c r="BZ7765" s="8"/>
      <c r="CD7765" s="8"/>
    </row>
    <row r="7766" spans="73:82" ht="15.75">
      <c r="BU7766" s="8"/>
      <c r="BZ7766" s="8"/>
      <c r="CD7766" s="8"/>
    </row>
    <row r="7767" spans="73:82" ht="15.75">
      <c r="BU7767" s="8"/>
      <c r="BZ7767" s="8"/>
      <c r="CD7767" s="8"/>
    </row>
    <row r="7768" spans="73:82" ht="15.75">
      <c r="BU7768" s="8"/>
      <c r="BZ7768" s="8"/>
      <c r="CD7768" s="8"/>
    </row>
    <row r="7769" spans="73:82" ht="15.75">
      <c r="BU7769" s="8"/>
      <c r="BZ7769" s="8"/>
      <c r="CD7769" s="8"/>
    </row>
    <row r="7770" spans="73:82" ht="15.75">
      <c r="BU7770" s="8"/>
      <c r="BZ7770" s="8"/>
      <c r="CD7770" s="8"/>
    </row>
    <row r="7771" spans="73:82" ht="15.75">
      <c r="BU7771" s="8"/>
      <c r="BZ7771" s="8"/>
      <c r="CD7771" s="8"/>
    </row>
    <row r="7772" spans="73:82" ht="15.75">
      <c r="BU7772" s="8"/>
      <c r="BZ7772" s="8"/>
      <c r="CD7772" s="8"/>
    </row>
    <row r="7773" spans="73:82" ht="15.75">
      <c r="BU7773" s="8"/>
      <c r="BZ7773" s="8"/>
      <c r="CD7773" s="8"/>
    </row>
    <row r="7774" spans="73:82" ht="15.75">
      <c r="BU7774" s="8"/>
      <c r="BZ7774" s="8"/>
      <c r="CD7774" s="8"/>
    </row>
    <row r="7775" spans="73:82" ht="15.75">
      <c r="BU7775" s="8"/>
      <c r="BZ7775" s="8"/>
      <c r="CD7775" s="8"/>
    </row>
    <row r="7776" spans="73:82" ht="15.75">
      <c r="BU7776" s="8"/>
      <c r="BZ7776" s="8"/>
      <c r="CD7776" s="8"/>
    </row>
    <row r="7777" spans="73:82" ht="15.75">
      <c r="BU7777" s="8"/>
      <c r="BZ7777" s="8"/>
      <c r="CD7777" s="8"/>
    </row>
    <row r="7778" spans="73:82" ht="15.75">
      <c r="BU7778" s="8"/>
      <c r="BZ7778" s="8"/>
      <c r="CD7778" s="8"/>
    </row>
    <row r="7779" spans="73:82" ht="15.75">
      <c r="BU7779" s="8"/>
      <c r="BZ7779" s="8"/>
      <c r="CD7779" s="8"/>
    </row>
    <row r="7780" spans="73:82" ht="15.75">
      <c r="BU7780" s="8"/>
      <c r="BZ7780" s="8"/>
      <c r="CD7780" s="8"/>
    </row>
    <row r="7781" spans="73:82" ht="15.75">
      <c r="BU7781" s="8"/>
      <c r="BZ7781" s="8"/>
      <c r="CD7781" s="8"/>
    </row>
    <row r="7782" spans="73:82" ht="15.75">
      <c r="BU7782" s="8"/>
      <c r="BZ7782" s="8"/>
      <c r="CD7782" s="8"/>
    </row>
    <row r="7783" spans="73:82" ht="15.75">
      <c r="BU7783" s="8"/>
      <c r="BZ7783" s="8"/>
      <c r="CD7783" s="8"/>
    </row>
    <row r="7784" spans="73:82" ht="15.75">
      <c r="BU7784" s="8"/>
      <c r="BZ7784" s="8"/>
      <c r="CD7784" s="8"/>
    </row>
    <row r="7785" spans="73:82" ht="15.75">
      <c r="BU7785" s="8"/>
      <c r="BZ7785" s="8"/>
      <c r="CD7785" s="8"/>
    </row>
    <row r="7786" spans="73:82" ht="15.75">
      <c r="BU7786" s="8"/>
      <c r="BZ7786" s="8"/>
      <c r="CD7786" s="8"/>
    </row>
    <row r="7787" spans="73:82" ht="15.75">
      <c r="BU7787" s="8"/>
      <c r="BZ7787" s="8"/>
      <c r="CD7787" s="8"/>
    </row>
    <row r="7788" spans="73:82" ht="15.75">
      <c r="BU7788" s="8"/>
      <c r="BZ7788" s="8"/>
      <c r="CD7788" s="8"/>
    </row>
    <row r="7789" spans="73:82" ht="15.75">
      <c r="BU7789" s="8"/>
      <c r="BZ7789" s="8"/>
      <c r="CD7789" s="8"/>
    </row>
    <row r="7790" spans="73:82" ht="15.75">
      <c r="BU7790" s="8"/>
      <c r="BZ7790" s="8"/>
      <c r="CD7790" s="8"/>
    </row>
    <row r="7791" spans="73:82" ht="15.75">
      <c r="BU7791" s="8"/>
      <c r="BZ7791" s="8"/>
      <c r="CD7791" s="8"/>
    </row>
    <row r="7792" spans="73:82" ht="15.75">
      <c r="BU7792" s="8"/>
      <c r="BZ7792" s="8"/>
      <c r="CD7792" s="8"/>
    </row>
    <row r="7793" spans="73:82" ht="15.75">
      <c r="BU7793" s="8"/>
      <c r="BZ7793" s="8"/>
      <c r="CD7793" s="8"/>
    </row>
    <row r="7794" spans="73:82" ht="15.75">
      <c r="BU7794" s="8"/>
      <c r="BZ7794" s="8"/>
      <c r="CD7794" s="8"/>
    </row>
    <row r="7795" spans="73:82" ht="15.75">
      <c r="BU7795" s="8"/>
      <c r="BZ7795" s="8"/>
      <c r="CD7795" s="8"/>
    </row>
    <row r="7796" spans="73:82" ht="15.75">
      <c r="BU7796" s="8"/>
      <c r="BZ7796" s="8"/>
      <c r="CD7796" s="8"/>
    </row>
    <row r="7797" spans="73:82" ht="15.75">
      <c r="BU7797" s="8"/>
      <c r="BZ7797" s="8"/>
      <c r="CD7797" s="8"/>
    </row>
    <row r="7798" spans="73:82" ht="15.75">
      <c r="BU7798" s="8"/>
      <c r="BZ7798" s="8"/>
      <c r="CD7798" s="8"/>
    </row>
    <row r="7799" spans="73:82" ht="15.75">
      <c r="BU7799" s="8"/>
      <c r="BZ7799" s="8"/>
      <c r="CD7799" s="8"/>
    </row>
    <row r="7800" spans="73:82" ht="15.75">
      <c r="BU7800" s="8"/>
      <c r="BZ7800" s="8"/>
      <c r="CD7800" s="8"/>
    </row>
    <row r="7801" spans="73:82" ht="15.75">
      <c r="BU7801" s="8"/>
      <c r="BZ7801" s="8"/>
      <c r="CD7801" s="8"/>
    </row>
    <row r="7802" spans="73:82" ht="15.75">
      <c r="BU7802" s="8"/>
      <c r="BZ7802" s="8"/>
      <c r="CD7802" s="8"/>
    </row>
    <row r="7803" spans="73:82" ht="15.75">
      <c r="BU7803" s="8"/>
      <c r="BZ7803" s="8"/>
      <c r="CD7803" s="8"/>
    </row>
    <row r="7804" spans="73:82" ht="15.75">
      <c r="BU7804" s="8"/>
      <c r="BZ7804" s="8"/>
      <c r="CD7804" s="8"/>
    </row>
    <row r="7805" spans="73:82" ht="15.75">
      <c r="BU7805" s="8"/>
      <c r="BZ7805" s="8"/>
      <c r="CD7805" s="8"/>
    </row>
    <row r="7806" spans="73:82" ht="15.75">
      <c r="BU7806" s="8"/>
      <c r="BZ7806" s="8"/>
      <c r="CD7806" s="8"/>
    </row>
    <row r="7807" spans="73:82" ht="15.75">
      <c r="BU7807" s="8"/>
      <c r="BZ7807" s="8"/>
      <c r="CD7807" s="8"/>
    </row>
    <row r="7808" spans="73:82" ht="15.75">
      <c r="BU7808" s="8"/>
      <c r="BZ7808" s="8"/>
      <c r="CD7808" s="8"/>
    </row>
    <row r="7809" spans="73:82" ht="15.75">
      <c r="BU7809" s="8"/>
      <c r="BZ7809" s="8"/>
      <c r="CD7809" s="8"/>
    </row>
    <row r="7810" spans="73:82" ht="15.75">
      <c r="BU7810" s="8"/>
      <c r="BZ7810" s="8"/>
      <c r="CD7810" s="8"/>
    </row>
    <row r="7811" spans="73:82" ht="15.75">
      <c r="BU7811" s="8"/>
      <c r="BZ7811" s="8"/>
      <c r="CD7811" s="8"/>
    </row>
    <row r="7812" spans="73:82" ht="15.75">
      <c r="BU7812" s="8"/>
      <c r="BZ7812" s="8"/>
      <c r="CD7812" s="8"/>
    </row>
    <row r="7813" spans="73:82" ht="15.75">
      <c r="BU7813" s="8"/>
      <c r="BZ7813" s="8"/>
      <c r="CD7813" s="8"/>
    </row>
    <row r="7814" spans="73:82" ht="15.75">
      <c r="BU7814" s="8"/>
      <c r="BZ7814" s="8"/>
      <c r="CD7814" s="8"/>
    </row>
    <row r="7815" spans="73:82" ht="15.75">
      <c r="BU7815" s="8"/>
      <c r="BZ7815" s="8"/>
      <c r="CD7815" s="8"/>
    </row>
    <row r="7816" spans="73:82" ht="15.75">
      <c r="BU7816" s="8"/>
      <c r="BZ7816" s="8"/>
      <c r="CD7816" s="8"/>
    </row>
    <row r="7817" spans="73:82" ht="15.75">
      <c r="BU7817" s="8"/>
      <c r="BZ7817" s="8"/>
      <c r="CD7817" s="8"/>
    </row>
    <row r="7818" spans="73:82" ht="15.75">
      <c r="BU7818" s="8"/>
      <c r="BZ7818" s="8"/>
      <c r="CD7818" s="8"/>
    </row>
    <row r="7819" spans="73:82" ht="15.75">
      <c r="BU7819" s="8"/>
      <c r="BZ7819" s="8"/>
      <c r="CD7819" s="8"/>
    </row>
    <row r="7820" spans="73:82" ht="15.75">
      <c r="BU7820" s="8"/>
      <c r="BZ7820" s="8"/>
      <c r="CD7820" s="8"/>
    </row>
    <row r="7821" spans="73:82" ht="15.75">
      <c r="BU7821" s="8"/>
      <c r="BZ7821" s="8"/>
      <c r="CD7821" s="8"/>
    </row>
    <row r="7822" spans="73:82" ht="15.75">
      <c r="BU7822" s="8"/>
      <c r="BZ7822" s="8"/>
      <c r="CD7822" s="8"/>
    </row>
    <row r="7823" spans="73:82" ht="15.75">
      <c r="BU7823" s="8"/>
      <c r="BZ7823" s="8"/>
      <c r="CD7823" s="8"/>
    </row>
    <row r="7824" spans="73:82" ht="15.75">
      <c r="BU7824" s="8"/>
      <c r="BZ7824" s="8"/>
      <c r="CD7824" s="8"/>
    </row>
    <row r="7825" spans="73:82" ht="15.75">
      <c r="BU7825" s="8"/>
      <c r="BZ7825" s="8"/>
      <c r="CD7825" s="8"/>
    </row>
    <row r="7826" spans="73:82" ht="15.75">
      <c r="BU7826" s="8"/>
      <c r="BZ7826" s="8"/>
      <c r="CD7826" s="8"/>
    </row>
    <row r="7827" spans="73:82" ht="15.75">
      <c r="BU7827" s="8"/>
      <c r="BZ7827" s="8"/>
      <c r="CD7827" s="8"/>
    </row>
    <row r="7828" spans="73:82" ht="15.75">
      <c r="BU7828" s="8"/>
      <c r="BZ7828" s="8"/>
      <c r="CD7828" s="8"/>
    </row>
    <row r="7829" spans="73:82" ht="15.75">
      <c r="BU7829" s="8"/>
      <c r="BZ7829" s="8"/>
      <c r="CD7829" s="8"/>
    </row>
    <row r="7830" spans="73:82" ht="15.75">
      <c r="BU7830" s="8"/>
      <c r="BZ7830" s="8"/>
      <c r="CD7830" s="8"/>
    </row>
    <row r="7831" spans="73:82" ht="15.75">
      <c r="BU7831" s="8"/>
      <c r="BZ7831" s="8"/>
      <c r="CD7831" s="8"/>
    </row>
    <row r="7832" spans="73:82" ht="15.75">
      <c r="BU7832" s="8"/>
      <c r="BZ7832" s="8"/>
      <c r="CD7832" s="8"/>
    </row>
    <row r="7833" spans="73:82" ht="15.75">
      <c r="BU7833" s="8"/>
      <c r="BZ7833" s="8"/>
      <c r="CD7833" s="8"/>
    </row>
    <row r="7834" spans="73:82" ht="15.75">
      <c r="BU7834" s="8"/>
      <c r="BZ7834" s="8"/>
      <c r="CD7834" s="8"/>
    </row>
    <row r="7835" spans="73:82" ht="15.75">
      <c r="BU7835" s="8"/>
      <c r="BZ7835" s="8"/>
      <c r="CD7835" s="8"/>
    </row>
    <row r="7836" spans="73:82" ht="15.75">
      <c r="BU7836" s="8"/>
      <c r="BZ7836" s="8"/>
      <c r="CD7836" s="8"/>
    </row>
    <row r="7837" spans="73:82" ht="15.75">
      <c r="BU7837" s="8"/>
      <c r="BZ7837" s="8"/>
      <c r="CD7837" s="8"/>
    </row>
    <row r="7838" spans="73:82" ht="15.75">
      <c r="BU7838" s="8"/>
      <c r="BZ7838" s="8"/>
      <c r="CD7838" s="8"/>
    </row>
    <row r="7839" spans="73:82" ht="15.75">
      <c r="BU7839" s="8"/>
      <c r="BZ7839" s="8"/>
      <c r="CD7839" s="8"/>
    </row>
    <row r="7840" spans="73:82" ht="15.75">
      <c r="BU7840" s="8"/>
      <c r="BZ7840" s="8"/>
      <c r="CD7840" s="8"/>
    </row>
    <row r="7841" spans="73:82" ht="15.75">
      <c r="BU7841" s="8"/>
      <c r="BZ7841" s="8"/>
      <c r="CD7841" s="8"/>
    </row>
    <row r="7842" spans="73:82" ht="15.75">
      <c r="BU7842" s="8"/>
      <c r="BZ7842" s="8"/>
      <c r="CD7842" s="8"/>
    </row>
    <row r="7843" spans="73:82" ht="15.75">
      <c r="BU7843" s="8"/>
      <c r="BZ7843" s="8"/>
      <c r="CD7843" s="8"/>
    </row>
    <row r="7844" spans="73:82" ht="15.75">
      <c r="BU7844" s="8"/>
      <c r="BZ7844" s="8"/>
      <c r="CD7844" s="8"/>
    </row>
    <row r="7845" spans="73:82" ht="15.75">
      <c r="BU7845" s="8"/>
      <c r="BZ7845" s="8"/>
      <c r="CD7845" s="8"/>
    </row>
    <row r="7846" spans="73:82" ht="15.75">
      <c r="BU7846" s="8"/>
      <c r="BZ7846" s="8"/>
      <c r="CD7846" s="8"/>
    </row>
    <row r="7847" spans="73:82" ht="15.75">
      <c r="BU7847" s="8"/>
      <c r="BZ7847" s="8"/>
      <c r="CD7847" s="8"/>
    </row>
    <row r="7848" spans="73:82" ht="15.75">
      <c r="BU7848" s="8"/>
      <c r="BZ7848" s="8"/>
      <c r="CD7848" s="8"/>
    </row>
    <row r="7849" spans="73:82" ht="15.75">
      <c r="BU7849" s="8"/>
      <c r="BZ7849" s="8"/>
      <c r="CD7849" s="8"/>
    </row>
    <row r="7850" spans="73:82" ht="15.75">
      <c r="BU7850" s="8"/>
      <c r="BZ7850" s="8"/>
      <c r="CD7850" s="8"/>
    </row>
    <row r="7851" spans="73:82" ht="15.75">
      <c r="BU7851" s="8"/>
      <c r="BZ7851" s="8"/>
      <c r="CD7851" s="8"/>
    </row>
    <row r="7852" spans="73:82" ht="15.75">
      <c r="BU7852" s="8"/>
      <c r="BZ7852" s="8"/>
      <c r="CD7852" s="8"/>
    </row>
    <row r="7853" spans="73:82" ht="15.75">
      <c r="BU7853" s="8"/>
      <c r="BZ7853" s="8"/>
      <c r="CD7853" s="8"/>
    </row>
    <row r="7854" spans="73:82" ht="15.75">
      <c r="BU7854" s="8"/>
      <c r="BZ7854" s="8"/>
      <c r="CD7854" s="8"/>
    </row>
    <row r="7855" spans="73:82" ht="15.75">
      <c r="BU7855" s="8"/>
      <c r="BZ7855" s="8"/>
      <c r="CD7855" s="8"/>
    </row>
    <row r="7856" spans="73:82" ht="15.75">
      <c r="BU7856" s="8"/>
      <c r="BZ7856" s="8"/>
      <c r="CD7856" s="8"/>
    </row>
    <row r="7857" spans="73:82" ht="15.75">
      <c r="BU7857" s="8"/>
      <c r="BZ7857" s="8"/>
      <c r="CD7857" s="8"/>
    </row>
    <row r="7858" spans="73:82" ht="15.75">
      <c r="BU7858" s="8"/>
      <c r="BZ7858" s="8"/>
      <c r="CD7858" s="8"/>
    </row>
    <row r="7859" spans="73:82" ht="15.75">
      <c r="BU7859" s="8"/>
      <c r="BZ7859" s="8"/>
      <c r="CD7859" s="8"/>
    </row>
    <row r="7860" spans="73:82" ht="15.75">
      <c r="BU7860" s="8"/>
      <c r="BZ7860" s="8"/>
      <c r="CD7860" s="8"/>
    </row>
    <row r="7861" spans="73:82" ht="15.75">
      <c r="BU7861" s="8"/>
      <c r="BZ7861" s="8"/>
      <c r="CD7861" s="8"/>
    </row>
    <row r="7862" spans="73:82" ht="15.75">
      <c r="BU7862" s="8"/>
      <c r="BZ7862" s="8"/>
      <c r="CD7862" s="8"/>
    </row>
    <row r="7863" spans="73:82" ht="15.75">
      <c r="BU7863" s="8"/>
      <c r="BZ7863" s="8"/>
      <c r="CD7863" s="8"/>
    </row>
    <row r="7864" spans="73:82" ht="15.75">
      <c r="BU7864" s="8"/>
      <c r="BZ7864" s="8"/>
      <c r="CD7864" s="8"/>
    </row>
    <row r="7865" spans="73:82" ht="15.75">
      <c r="BU7865" s="8"/>
      <c r="BZ7865" s="8"/>
      <c r="CD7865" s="8"/>
    </row>
    <row r="7866" spans="73:82" ht="15.75">
      <c r="BU7866" s="8"/>
      <c r="BZ7866" s="8"/>
      <c r="CD7866" s="8"/>
    </row>
    <row r="7867" spans="73:82" ht="15.75">
      <c r="BU7867" s="8"/>
      <c r="BZ7867" s="8"/>
      <c r="CD7867" s="8"/>
    </row>
    <row r="7868" spans="73:82" ht="15.75">
      <c r="BU7868" s="8"/>
      <c r="BZ7868" s="8"/>
      <c r="CD7868" s="8"/>
    </row>
    <row r="7869" spans="73:82" ht="15.75">
      <c r="BU7869" s="8"/>
      <c r="BZ7869" s="8"/>
      <c r="CD7869" s="8"/>
    </row>
    <row r="7870" spans="73:82" ht="15.75">
      <c r="BU7870" s="8"/>
      <c r="BZ7870" s="8"/>
      <c r="CD7870" s="8"/>
    </row>
    <row r="7871" spans="73:82" ht="15.75">
      <c r="BU7871" s="8"/>
      <c r="BZ7871" s="8"/>
      <c r="CD7871" s="8"/>
    </row>
    <row r="7872" spans="73:82" ht="15.75">
      <c r="BU7872" s="8"/>
      <c r="BZ7872" s="8"/>
      <c r="CD7872" s="8"/>
    </row>
    <row r="7873" spans="73:82" ht="15.75">
      <c r="BU7873" s="8"/>
      <c r="BZ7873" s="8"/>
      <c r="CD7873" s="8"/>
    </row>
    <row r="7874" spans="73:82" ht="15.75">
      <c r="BU7874" s="8"/>
      <c r="BZ7874" s="8"/>
      <c r="CD7874" s="8"/>
    </row>
    <row r="7875" spans="73:82" ht="15.75">
      <c r="BU7875" s="8"/>
      <c r="BZ7875" s="8"/>
      <c r="CD7875" s="8"/>
    </row>
    <row r="7876" spans="73:82" ht="15.75">
      <c r="BU7876" s="8"/>
      <c r="BZ7876" s="8"/>
      <c r="CD7876" s="8"/>
    </row>
    <row r="7877" spans="73:82" ht="15.75">
      <c r="BU7877" s="8"/>
      <c r="BZ7877" s="8"/>
      <c r="CD7877" s="8"/>
    </row>
    <row r="7878" spans="73:82" ht="15.75">
      <c r="BU7878" s="8"/>
      <c r="BZ7878" s="8"/>
      <c r="CD7878" s="8"/>
    </row>
    <row r="7879" spans="73:82" ht="15.75">
      <c r="BU7879" s="8"/>
      <c r="BZ7879" s="8"/>
      <c r="CD7879" s="8"/>
    </row>
    <row r="7880" spans="73:82" ht="15.75">
      <c r="BU7880" s="8"/>
      <c r="BZ7880" s="8"/>
      <c r="CD7880" s="8"/>
    </row>
    <row r="7881" spans="73:82" ht="15.75">
      <c r="BU7881" s="8"/>
      <c r="BZ7881" s="8"/>
      <c r="CD7881" s="8"/>
    </row>
    <row r="7882" spans="73:82" ht="15.75">
      <c r="BU7882" s="8"/>
      <c r="BZ7882" s="8"/>
      <c r="CD7882" s="8"/>
    </row>
    <row r="7883" spans="73:82" ht="15.75">
      <c r="BU7883" s="8"/>
      <c r="BZ7883" s="8"/>
      <c r="CD7883" s="8"/>
    </row>
    <row r="7884" spans="73:82" ht="15.75">
      <c r="BU7884" s="8"/>
      <c r="BZ7884" s="8"/>
      <c r="CD7884" s="8"/>
    </row>
    <row r="7885" spans="73:82" ht="15.75">
      <c r="BU7885" s="8"/>
      <c r="BZ7885" s="8"/>
      <c r="CD7885" s="8"/>
    </row>
    <row r="7886" spans="73:82" ht="15.75">
      <c r="BU7886" s="8"/>
      <c r="BZ7886" s="8"/>
      <c r="CD7886" s="8"/>
    </row>
    <row r="7887" spans="73:82" ht="15.75">
      <c r="BU7887" s="8"/>
      <c r="BZ7887" s="8"/>
      <c r="CD7887" s="8"/>
    </row>
    <row r="7888" spans="73:82" ht="15.75">
      <c r="BU7888" s="8"/>
      <c r="BZ7888" s="8"/>
      <c r="CD7888" s="8"/>
    </row>
    <row r="7889" spans="73:82" ht="15.75">
      <c r="BU7889" s="8"/>
      <c r="BZ7889" s="8"/>
      <c r="CD7889" s="8"/>
    </row>
    <row r="7890" spans="73:82" ht="15.75">
      <c r="BU7890" s="8"/>
      <c r="BZ7890" s="8"/>
      <c r="CD7890" s="8"/>
    </row>
    <row r="7891" spans="73:82" ht="15.75">
      <c r="BU7891" s="8"/>
      <c r="BZ7891" s="8"/>
      <c r="CD7891" s="8"/>
    </row>
    <row r="7892" spans="73:82" ht="15.75">
      <c r="BU7892" s="8"/>
      <c r="BZ7892" s="8"/>
      <c r="CD7892" s="8"/>
    </row>
    <row r="7893" spans="73:82" ht="15.75">
      <c r="BU7893" s="8"/>
      <c r="BZ7893" s="8"/>
      <c r="CD7893" s="8"/>
    </row>
    <row r="7894" spans="73:82" ht="15.75">
      <c r="BU7894" s="8"/>
      <c r="BZ7894" s="8"/>
      <c r="CD7894" s="8"/>
    </row>
    <row r="7895" spans="73:82" ht="15.75">
      <c r="BU7895" s="8"/>
      <c r="BZ7895" s="8"/>
      <c r="CD7895" s="8"/>
    </row>
    <row r="7896" spans="73:82" ht="15.75">
      <c r="BU7896" s="8"/>
      <c r="BZ7896" s="8"/>
      <c r="CD7896" s="8"/>
    </row>
    <row r="7897" spans="73:82" ht="15.75">
      <c r="BU7897" s="8"/>
      <c r="BZ7897" s="8"/>
      <c r="CD7897" s="8"/>
    </row>
    <row r="7898" spans="73:82" ht="15.75">
      <c r="BU7898" s="8"/>
      <c r="BZ7898" s="8"/>
      <c r="CD7898" s="8"/>
    </row>
    <row r="7899" spans="73:82" ht="15.75">
      <c r="BU7899" s="8"/>
      <c r="BZ7899" s="8"/>
      <c r="CD7899" s="8"/>
    </row>
    <row r="7900" spans="73:82" ht="15.75">
      <c r="BU7900" s="8"/>
      <c r="BZ7900" s="8"/>
      <c r="CD7900" s="8"/>
    </row>
    <row r="7901" spans="73:82" ht="15.75">
      <c r="BU7901" s="8"/>
      <c r="BZ7901" s="8"/>
      <c r="CD7901" s="8"/>
    </row>
    <row r="7902" spans="73:82" ht="15.75">
      <c r="BU7902" s="8"/>
      <c r="BZ7902" s="8"/>
      <c r="CD7902" s="8"/>
    </row>
    <row r="7903" spans="73:82" ht="15.75">
      <c r="BU7903" s="8"/>
      <c r="BZ7903" s="8"/>
      <c r="CD7903" s="8"/>
    </row>
    <row r="7904" spans="73:82" ht="15.75">
      <c r="BU7904" s="8"/>
      <c r="BZ7904" s="8"/>
      <c r="CD7904" s="8"/>
    </row>
    <row r="7905" spans="73:82" ht="15.75">
      <c r="BU7905" s="8"/>
      <c r="BZ7905" s="8"/>
      <c r="CD7905" s="8"/>
    </row>
    <row r="7906" spans="73:82" ht="15.75">
      <c r="BU7906" s="8"/>
      <c r="BZ7906" s="8"/>
      <c r="CD7906" s="8"/>
    </row>
    <row r="7907" spans="73:82" ht="15.75">
      <c r="BU7907" s="8"/>
      <c r="BZ7907" s="8"/>
      <c r="CD7907" s="8"/>
    </row>
    <row r="7908" spans="73:82" ht="15.75">
      <c r="BU7908" s="8"/>
      <c r="BZ7908" s="8"/>
      <c r="CD7908" s="8"/>
    </row>
    <row r="7909" spans="73:82" ht="15.75">
      <c r="BU7909" s="8"/>
      <c r="BZ7909" s="8"/>
      <c r="CD7909" s="8"/>
    </row>
    <row r="7910" spans="73:82" ht="15.75">
      <c r="BU7910" s="8"/>
      <c r="BZ7910" s="8"/>
      <c r="CD7910" s="8"/>
    </row>
    <row r="7911" spans="73:82" ht="15.75">
      <c r="BU7911" s="8"/>
      <c r="BZ7911" s="8"/>
      <c r="CD7911" s="8"/>
    </row>
    <row r="7912" spans="73:82" ht="15.75">
      <c r="BU7912" s="8"/>
      <c r="BZ7912" s="8"/>
      <c r="CD7912" s="8"/>
    </row>
    <row r="7913" spans="73:82" ht="15.75">
      <c r="BU7913" s="8"/>
      <c r="BZ7913" s="8"/>
      <c r="CD7913" s="8"/>
    </row>
    <row r="7914" spans="73:82" ht="15.75">
      <c r="BU7914" s="8"/>
      <c r="BZ7914" s="8"/>
      <c r="CD7914" s="8"/>
    </row>
    <row r="7915" spans="73:82" ht="15.75">
      <c r="BU7915" s="8"/>
      <c r="BZ7915" s="8"/>
      <c r="CD7915" s="8"/>
    </row>
    <row r="7916" spans="73:82" ht="15.75">
      <c r="BU7916" s="8"/>
      <c r="BZ7916" s="8"/>
      <c r="CD7916" s="8"/>
    </row>
    <row r="7917" spans="73:82" ht="15.75">
      <c r="BU7917" s="8"/>
      <c r="BZ7917" s="8"/>
      <c r="CD7917" s="8"/>
    </row>
    <row r="7918" spans="73:82" ht="15.75">
      <c r="BU7918" s="8"/>
      <c r="BZ7918" s="8"/>
      <c r="CD7918" s="8"/>
    </row>
    <row r="7919" spans="73:82" ht="15.75">
      <c r="BU7919" s="8"/>
      <c r="BZ7919" s="8"/>
      <c r="CD7919" s="8"/>
    </row>
    <row r="7920" spans="73:82" ht="15.75">
      <c r="BU7920" s="8"/>
      <c r="BZ7920" s="8"/>
      <c r="CD7920" s="8"/>
    </row>
    <row r="7921" spans="73:82" ht="15.75">
      <c r="BU7921" s="8"/>
      <c r="BZ7921" s="8"/>
      <c r="CD7921" s="8"/>
    </row>
    <row r="7922" spans="73:82" ht="15.75">
      <c r="BU7922" s="8"/>
      <c r="BZ7922" s="8"/>
      <c r="CD7922" s="8"/>
    </row>
    <row r="7923" spans="73:82" ht="15.75">
      <c r="BU7923" s="8"/>
      <c r="BZ7923" s="8"/>
      <c r="CD7923" s="8"/>
    </row>
    <row r="7924" spans="73:82" ht="15.75">
      <c r="BU7924" s="8"/>
      <c r="BZ7924" s="8"/>
      <c r="CD7924" s="8"/>
    </row>
    <row r="7925" spans="73:82" ht="15.75">
      <c r="BU7925" s="8"/>
      <c r="BZ7925" s="8"/>
      <c r="CD7925" s="8"/>
    </row>
    <row r="7926" spans="73:82" ht="15.75">
      <c r="BU7926" s="8"/>
      <c r="BZ7926" s="8"/>
      <c r="CD7926" s="8"/>
    </row>
    <row r="7927" spans="73:82" ht="15.75">
      <c r="BU7927" s="8"/>
      <c r="BZ7927" s="8"/>
      <c r="CD7927" s="8"/>
    </row>
    <row r="7928" spans="73:82" ht="15.75">
      <c r="BU7928" s="8"/>
      <c r="BZ7928" s="8"/>
      <c r="CD7928" s="8"/>
    </row>
    <row r="7929" spans="73:82" ht="15.75">
      <c r="BU7929" s="8"/>
      <c r="BZ7929" s="8"/>
      <c r="CD7929" s="8"/>
    </row>
    <row r="7930" spans="73:82" ht="15.75">
      <c r="BU7930" s="8"/>
      <c r="BZ7930" s="8"/>
      <c r="CD7930" s="8"/>
    </row>
    <row r="7931" spans="73:82" ht="15.75">
      <c r="BU7931" s="8"/>
      <c r="BZ7931" s="8"/>
      <c r="CD7931" s="8"/>
    </row>
    <row r="7932" spans="73:82" ht="15.75">
      <c r="BU7932" s="8"/>
      <c r="BZ7932" s="8"/>
      <c r="CD7932" s="8"/>
    </row>
    <row r="7933" spans="73:82" ht="15.75">
      <c r="BU7933" s="8"/>
      <c r="BZ7933" s="8"/>
      <c r="CD7933" s="8"/>
    </row>
    <row r="7934" spans="73:82" ht="15.75">
      <c r="BU7934" s="8"/>
      <c r="BZ7934" s="8"/>
      <c r="CD7934" s="8"/>
    </row>
    <row r="7935" spans="73:82" ht="15.75">
      <c r="BU7935" s="8"/>
      <c r="BZ7935" s="8"/>
      <c r="CD7935" s="8"/>
    </row>
    <row r="7936" spans="73:82" ht="15.75">
      <c r="BU7936" s="8"/>
      <c r="BZ7936" s="8"/>
      <c r="CD7936" s="8"/>
    </row>
    <row r="7937" spans="73:82" ht="15.75">
      <c r="BU7937" s="8"/>
      <c r="BZ7937" s="8"/>
      <c r="CD7937" s="8"/>
    </row>
    <row r="7938" spans="73:82" ht="15.75">
      <c r="BU7938" s="8"/>
      <c r="BZ7938" s="8"/>
      <c r="CD7938" s="8"/>
    </row>
    <row r="7939" spans="73:82" ht="15.75">
      <c r="BU7939" s="8"/>
      <c r="BZ7939" s="8"/>
      <c r="CD7939" s="8"/>
    </row>
    <row r="7940" spans="73:82" ht="15.75">
      <c r="BU7940" s="8"/>
      <c r="BZ7940" s="8"/>
      <c r="CD7940" s="8"/>
    </row>
    <row r="7941" spans="73:82" ht="15.75">
      <c r="BU7941" s="8"/>
      <c r="BZ7941" s="8"/>
      <c r="CD7941" s="8"/>
    </row>
    <row r="7942" spans="73:82" ht="15.75">
      <c r="BU7942" s="8"/>
      <c r="BZ7942" s="8"/>
      <c r="CD7942" s="8"/>
    </row>
    <row r="7943" spans="73:82" ht="15.75">
      <c r="BU7943" s="8"/>
      <c r="BZ7943" s="8"/>
      <c r="CD7943" s="8"/>
    </row>
    <row r="7944" spans="73:82" ht="15.75">
      <c r="BU7944" s="8"/>
      <c r="BZ7944" s="8"/>
      <c r="CD7944" s="8"/>
    </row>
    <row r="7945" spans="73:82" ht="15.75">
      <c r="BU7945" s="8"/>
      <c r="BZ7945" s="8"/>
      <c r="CD7945" s="8"/>
    </row>
    <row r="7946" spans="73:82" ht="15.75">
      <c r="BU7946" s="8"/>
      <c r="BZ7946" s="8"/>
      <c r="CD7946" s="8"/>
    </row>
    <row r="7947" spans="73:82" ht="15.75">
      <c r="BU7947" s="8"/>
      <c r="BZ7947" s="8"/>
      <c r="CD7947" s="8"/>
    </row>
    <row r="7948" spans="73:82" ht="15.75">
      <c r="BU7948" s="8"/>
      <c r="BZ7948" s="8"/>
      <c r="CD7948" s="8"/>
    </row>
    <row r="7949" spans="73:82" ht="15.75">
      <c r="BU7949" s="8"/>
      <c r="BZ7949" s="8"/>
      <c r="CD7949" s="8"/>
    </row>
    <row r="7950" spans="73:82" ht="15.75">
      <c r="BU7950" s="8"/>
      <c r="BZ7950" s="8"/>
      <c r="CD7950" s="8"/>
    </row>
    <row r="7951" spans="73:82" ht="15.75">
      <c r="BU7951" s="8"/>
      <c r="BZ7951" s="8"/>
      <c r="CD7951" s="8"/>
    </row>
    <row r="7952" spans="73:82" ht="15.75">
      <c r="BU7952" s="8"/>
      <c r="BZ7952" s="8"/>
      <c r="CD7952" s="8"/>
    </row>
    <row r="7953" spans="73:82" ht="15.75">
      <c r="BU7953" s="8"/>
      <c r="BZ7953" s="8"/>
      <c r="CD7953" s="8"/>
    </row>
    <row r="7954" spans="73:82" ht="15.75">
      <c r="BU7954" s="8"/>
      <c r="BZ7954" s="8"/>
      <c r="CD7954" s="8"/>
    </row>
    <row r="7955" spans="73:82" ht="15.75">
      <c r="BU7955" s="8"/>
      <c r="BZ7955" s="8"/>
      <c r="CD7955" s="8"/>
    </row>
    <row r="7956" spans="73:82" ht="15.75">
      <c r="BU7956" s="8"/>
      <c r="BZ7956" s="8"/>
      <c r="CD7956" s="8"/>
    </row>
    <row r="7957" spans="73:82" ht="15.75">
      <c r="BU7957" s="8"/>
      <c r="BZ7957" s="8"/>
      <c r="CD7957" s="8"/>
    </row>
    <row r="7958" spans="73:82" ht="15.75">
      <c r="BU7958" s="8"/>
      <c r="BZ7958" s="8"/>
      <c r="CD7958" s="8"/>
    </row>
    <row r="7959" spans="73:82" ht="15.75">
      <c r="BU7959" s="8"/>
      <c r="BZ7959" s="8"/>
      <c r="CD7959" s="8"/>
    </row>
    <row r="7960" spans="73:82" ht="15.75">
      <c r="BU7960" s="8"/>
      <c r="BZ7960" s="8"/>
      <c r="CD7960" s="8"/>
    </row>
    <row r="7961" spans="73:82" ht="15.75">
      <c r="BU7961" s="8"/>
      <c r="BZ7961" s="8"/>
      <c r="CD7961" s="8"/>
    </row>
    <row r="7962" spans="73:82" ht="15.75">
      <c r="BU7962" s="8"/>
      <c r="BZ7962" s="8"/>
      <c r="CD7962" s="8"/>
    </row>
    <row r="7963" spans="73:82" ht="15.75">
      <c r="BU7963" s="8"/>
      <c r="BZ7963" s="8"/>
      <c r="CD7963" s="8"/>
    </row>
    <row r="7964" spans="73:82" ht="15.75">
      <c r="BU7964" s="8"/>
      <c r="BZ7964" s="8"/>
      <c r="CD7964" s="8"/>
    </row>
    <row r="7965" spans="73:82" ht="15.75">
      <c r="BU7965" s="8"/>
      <c r="BZ7965" s="8"/>
      <c r="CD7965" s="8"/>
    </row>
    <row r="7966" spans="73:82" ht="15.75">
      <c r="BU7966" s="8"/>
      <c r="BZ7966" s="8"/>
      <c r="CD7966" s="8"/>
    </row>
    <row r="7967" spans="73:82" ht="15.75">
      <c r="BU7967" s="8"/>
      <c r="BZ7967" s="8"/>
      <c r="CD7967" s="8"/>
    </row>
    <row r="7968" spans="73:82" ht="15.75">
      <c r="BU7968" s="8"/>
      <c r="BZ7968" s="8"/>
      <c r="CD7968" s="8"/>
    </row>
    <row r="7969" spans="73:82" ht="15.75">
      <c r="BU7969" s="8"/>
      <c r="BZ7969" s="8"/>
      <c r="CD7969" s="8"/>
    </row>
    <row r="7970" spans="73:82" ht="15.75">
      <c r="BU7970" s="8"/>
      <c r="BZ7970" s="8"/>
      <c r="CD7970" s="8"/>
    </row>
    <row r="7971" spans="73:82" ht="15.75">
      <c r="BU7971" s="8"/>
      <c r="BZ7971" s="8"/>
      <c r="CD7971" s="8"/>
    </row>
    <row r="7972" spans="73:82" ht="15.75">
      <c r="BU7972" s="8"/>
      <c r="BZ7972" s="8"/>
      <c r="CD7972" s="8"/>
    </row>
    <row r="7973" spans="73:82" ht="15.75">
      <c r="BU7973" s="8"/>
      <c r="BZ7973" s="8"/>
      <c r="CD7973" s="8"/>
    </row>
    <row r="7974" spans="73:82" ht="15.75">
      <c r="BU7974" s="8"/>
      <c r="BZ7974" s="8"/>
      <c r="CD7974" s="8"/>
    </row>
    <row r="7975" spans="73:82" ht="15.75">
      <c r="BU7975" s="8"/>
      <c r="BZ7975" s="8"/>
      <c r="CD7975" s="8"/>
    </row>
    <row r="7976" spans="73:82" ht="15.75">
      <c r="BU7976" s="8"/>
      <c r="BZ7976" s="8"/>
      <c r="CD7976" s="8"/>
    </row>
    <row r="7977" spans="73:82" ht="15.75">
      <c r="BU7977" s="8"/>
      <c r="BZ7977" s="8"/>
      <c r="CD7977" s="8"/>
    </row>
    <row r="7978" spans="73:82" ht="15.75">
      <c r="BU7978" s="8"/>
      <c r="BZ7978" s="8"/>
      <c r="CD7978" s="8"/>
    </row>
    <row r="7979" spans="73:82" ht="15.75">
      <c r="BU7979" s="8"/>
      <c r="BZ7979" s="8"/>
      <c r="CD7979" s="8"/>
    </row>
    <row r="7980" spans="73:82" ht="15.75">
      <c r="BU7980" s="8"/>
      <c r="BZ7980" s="8"/>
      <c r="CD7980" s="8"/>
    </row>
    <row r="7981" spans="73:82" ht="15.75">
      <c r="BU7981" s="8"/>
      <c r="BZ7981" s="8"/>
      <c r="CD7981" s="8"/>
    </row>
    <row r="7982" spans="73:82" ht="15.75">
      <c r="BU7982" s="8"/>
      <c r="BZ7982" s="8"/>
      <c r="CD7982" s="8"/>
    </row>
    <row r="7983" spans="73:82" ht="15.75">
      <c r="BU7983" s="8"/>
      <c r="BZ7983" s="8"/>
      <c r="CD7983" s="8"/>
    </row>
    <row r="7984" spans="73:82" ht="15.75">
      <c r="BU7984" s="8"/>
      <c r="BZ7984" s="8"/>
      <c r="CD7984" s="8"/>
    </row>
    <row r="7985" spans="73:82" ht="15.75">
      <c r="BU7985" s="8"/>
      <c r="BZ7985" s="8"/>
      <c r="CD7985" s="8"/>
    </row>
    <row r="7986" spans="73:82" ht="15.75">
      <c r="BU7986" s="8"/>
      <c r="BZ7986" s="8"/>
      <c r="CD7986" s="8"/>
    </row>
    <row r="7987" spans="73:82" ht="15.75">
      <c r="BU7987" s="8"/>
      <c r="BZ7987" s="8"/>
      <c r="CD7987" s="8"/>
    </row>
    <row r="7988" spans="73:82" ht="15.75">
      <c r="BU7988" s="8"/>
      <c r="BZ7988" s="8"/>
      <c r="CD7988" s="8"/>
    </row>
    <row r="7989" spans="73:82" ht="15.75">
      <c r="BU7989" s="8"/>
      <c r="BZ7989" s="8"/>
      <c r="CD7989" s="8"/>
    </row>
    <row r="7990" spans="73:82" ht="15.75">
      <c r="BU7990" s="8"/>
      <c r="BZ7990" s="8"/>
      <c r="CD7990" s="8"/>
    </row>
    <row r="7991" spans="73:82" ht="15.75">
      <c r="BU7991" s="8"/>
      <c r="BZ7991" s="8"/>
      <c r="CD7991" s="8"/>
    </row>
    <row r="7992" spans="73:82" ht="15.75">
      <c r="BU7992" s="8"/>
      <c r="BZ7992" s="8"/>
      <c r="CD7992" s="8"/>
    </row>
    <row r="7993" spans="73:82" ht="15.75">
      <c r="BU7993" s="8"/>
      <c r="BZ7993" s="8"/>
      <c r="CD7993" s="8"/>
    </row>
    <row r="7994" spans="73:82" ht="15.75">
      <c r="BU7994" s="8"/>
      <c r="BZ7994" s="8"/>
      <c r="CD7994" s="8"/>
    </row>
    <row r="7995" spans="73:82" ht="15.75">
      <c r="BU7995" s="8"/>
      <c r="BZ7995" s="8"/>
      <c r="CD7995" s="8"/>
    </row>
    <row r="7996" spans="73:82" ht="15.75">
      <c r="BU7996" s="8"/>
      <c r="BZ7996" s="8"/>
      <c r="CD7996" s="8"/>
    </row>
    <row r="7997" spans="73:82" ht="15.75">
      <c r="BU7997" s="8"/>
      <c r="BZ7997" s="8"/>
      <c r="CD7997" s="8"/>
    </row>
    <row r="7998" spans="73:82" ht="15.75">
      <c r="BU7998" s="8"/>
      <c r="BZ7998" s="8"/>
      <c r="CD7998" s="8"/>
    </row>
    <row r="7999" spans="73:82" ht="15.75">
      <c r="BU7999" s="8"/>
      <c r="BZ7999" s="8"/>
      <c r="CD7999" s="8"/>
    </row>
    <row r="8000" spans="73:82" ht="15.75">
      <c r="BU8000" s="8"/>
      <c r="BZ8000" s="8"/>
      <c r="CD8000" s="8"/>
    </row>
    <row r="8001" spans="73:82" ht="15.75">
      <c r="BU8001" s="8"/>
      <c r="BZ8001" s="8"/>
      <c r="CD8001" s="8"/>
    </row>
    <row r="8002" spans="73:82" ht="15.75">
      <c r="BU8002" s="8"/>
      <c r="BZ8002" s="8"/>
      <c r="CD8002" s="8"/>
    </row>
    <row r="8003" spans="73:82" ht="15.75">
      <c r="BU8003" s="8"/>
      <c r="BZ8003" s="8"/>
      <c r="CD8003" s="8"/>
    </row>
    <row r="8004" spans="73:82" ht="15.75">
      <c r="BU8004" s="8"/>
      <c r="BZ8004" s="8"/>
      <c r="CD8004" s="8"/>
    </row>
    <row r="8005" spans="73:82" ht="15.75">
      <c r="BU8005" s="8"/>
      <c r="BZ8005" s="8"/>
      <c r="CD8005" s="8"/>
    </row>
    <row r="8006" spans="73:82" ht="15.75">
      <c r="BU8006" s="8"/>
      <c r="BZ8006" s="8"/>
      <c r="CD8006" s="8"/>
    </row>
    <row r="8007" spans="73:82" ht="15.75">
      <c r="BU8007" s="8"/>
      <c r="BZ8007" s="8"/>
      <c r="CD8007" s="8"/>
    </row>
    <row r="8008" spans="73:82" ht="15.75">
      <c r="BU8008" s="8"/>
      <c r="BZ8008" s="8"/>
      <c r="CD8008" s="8"/>
    </row>
    <row r="8009" spans="73:82" ht="15.75">
      <c r="BU8009" s="8"/>
      <c r="BZ8009" s="8"/>
      <c r="CD8009" s="8"/>
    </row>
    <row r="8010" spans="73:82" ht="15.75">
      <c r="BU8010" s="8"/>
      <c r="BZ8010" s="8"/>
      <c r="CD8010" s="8"/>
    </row>
    <row r="8011" spans="73:82" ht="15.75">
      <c r="BU8011" s="8"/>
      <c r="BZ8011" s="8"/>
      <c r="CD8011" s="8"/>
    </row>
    <row r="8012" spans="73:82" ht="15.75">
      <c r="BU8012" s="8"/>
      <c r="BZ8012" s="8"/>
      <c r="CD8012" s="8"/>
    </row>
    <row r="8013" spans="73:82" ht="15.75">
      <c r="BU8013" s="8"/>
      <c r="BZ8013" s="8"/>
      <c r="CD8013" s="8"/>
    </row>
    <row r="8014" spans="73:82" ht="15.75">
      <c r="BU8014" s="8"/>
      <c r="BZ8014" s="8"/>
      <c r="CD8014" s="8"/>
    </row>
    <row r="8015" spans="73:82" ht="15.75">
      <c r="BU8015" s="8"/>
      <c r="BZ8015" s="8"/>
      <c r="CD8015" s="8"/>
    </row>
    <row r="8016" spans="73:82" ht="15.75">
      <c r="BU8016" s="8"/>
      <c r="BZ8016" s="8"/>
      <c r="CD8016" s="8"/>
    </row>
    <row r="8017" spans="73:82" ht="15.75">
      <c r="BU8017" s="8"/>
      <c r="BZ8017" s="8"/>
      <c r="CD8017" s="8"/>
    </row>
    <row r="8018" spans="73:82" ht="15.75">
      <c r="BU8018" s="8"/>
      <c r="BZ8018" s="8"/>
      <c r="CD8018" s="8"/>
    </row>
    <row r="8019" spans="73:82" ht="15.75">
      <c r="BU8019" s="8"/>
      <c r="BZ8019" s="8"/>
      <c r="CD8019" s="8"/>
    </row>
    <row r="8020" spans="73:82" ht="15.75">
      <c r="BU8020" s="8"/>
      <c r="BZ8020" s="8"/>
      <c r="CD8020" s="8"/>
    </row>
    <row r="8021" spans="73:82" ht="15.75">
      <c r="BU8021" s="8"/>
      <c r="BZ8021" s="8"/>
      <c r="CD8021" s="8"/>
    </row>
    <row r="8022" spans="73:82" ht="15.75">
      <c r="BU8022" s="8"/>
      <c r="BZ8022" s="8"/>
      <c r="CD8022" s="8"/>
    </row>
    <row r="8023" spans="73:82" ht="15.75">
      <c r="BU8023" s="8"/>
      <c r="BZ8023" s="8"/>
      <c r="CD8023" s="8"/>
    </row>
    <row r="8024" spans="73:82" ht="15.75">
      <c r="BU8024" s="8"/>
      <c r="BZ8024" s="8"/>
      <c r="CD8024" s="8"/>
    </row>
    <row r="8025" spans="73:82" ht="15.75">
      <c r="BU8025" s="8"/>
      <c r="BZ8025" s="8"/>
      <c r="CD8025" s="8"/>
    </row>
    <row r="8026" spans="73:82" ht="15.75">
      <c r="BU8026" s="8"/>
      <c r="BZ8026" s="8"/>
      <c r="CD8026" s="8"/>
    </row>
    <row r="8027" spans="73:82" ht="15.75">
      <c r="BU8027" s="8"/>
      <c r="BZ8027" s="8"/>
      <c r="CD8027" s="8"/>
    </row>
    <row r="8028" spans="73:82" ht="15.75">
      <c r="BU8028" s="8"/>
      <c r="BZ8028" s="8"/>
      <c r="CD8028" s="8"/>
    </row>
    <row r="8029" spans="73:82" ht="15.75">
      <c r="BU8029" s="8"/>
      <c r="BZ8029" s="8"/>
      <c r="CD8029" s="8"/>
    </row>
    <row r="8030" spans="73:82" ht="15.75">
      <c r="BU8030" s="8"/>
      <c r="BZ8030" s="8"/>
      <c r="CD8030" s="8"/>
    </row>
    <row r="8031" spans="73:82" ht="15.75">
      <c r="BU8031" s="8"/>
      <c r="BZ8031" s="8"/>
      <c r="CD8031" s="8"/>
    </row>
    <row r="8032" spans="73:82" ht="15.75">
      <c r="BU8032" s="8"/>
      <c r="BZ8032" s="8"/>
      <c r="CD8032" s="8"/>
    </row>
    <row r="8033" spans="73:82" ht="15.75">
      <c r="BU8033" s="8"/>
      <c r="BZ8033" s="8"/>
      <c r="CD8033" s="8"/>
    </row>
    <row r="8034" spans="73:82" ht="15.75">
      <c r="BU8034" s="8"/>
      <c r="BZ8034" s="8"/>
      <c r="CD8034" s="8"/>
    </row>
    <row r="8035" spans="73:82" ht="15.75">
      <c r="BU8035" s="8"/>
      <c r="BZ8035" s="8"/>
      <c r="CD8035" s="8"/>
    </row>
    <row r="8036" spans="73:82" ht="15.75">
      <c r="BU8036" s="8"/>
      <c r="BZ8036" s="8"/>
      <c r="CD8036" s="8"/>
    </row>
    <row r="8037" spans="73:82" ht="15.75">
      <c r="BU8037" s="8"/>
      <c r="BZ8037" s="8"/>
      <c r="CD8037" s="8"/>
    </row>
    <row r="8038" spans="73:82" ht="15.75">
      <c r="BU8038" s="8"/>
      <c r="BZ8038" s="8"/>
      <c r="CD8038" s="8"/>
    </row>
    <row r="8039" spans="73:82" ht="15.75">
      <c r="BU8039" s="8"/>
      <c r="BZ8039" s="8"/>
      <c r="CD8039" s="8"/>
    </row>
    <row r="8040" spans="73:82" ht="15.75">
      <c r="BU8040" s="8"/>
      <c r="BZ8040" s="8"/>
      <c r="CD8040" s="8"/>
    </row>
    <row r="8041" spans="73:82" ht="15.75">
      <c r="BU8041" s="8"/>
      <c r="BZ8041" s="8"/>
      <c r="CD8041" s="8"/>
    </row>
    <row r="8042" spans="73:82" ht="15.75">
      <c r="BU8042" s="8"/>
      <c r="BZ8042" s="8"/>
      <c r="CD8042" s="8"/>
    </row>
    <row r="8043" spans="73:82" ht="15.75">
      <c r="BU8043" s="8"/>
      <c r="BZ8043" s="8"/>
      <c r="CD8043" s="8"/>
    </row>
    <row r="8044" spans="73:82" ht="15.75">
      <c r="BU8044" s="8"/>
      <c r="BZ8044" s="8"/>
      <c r="CD8044" s="8"/>
    </row>
    <row r="8045" spans="73:82" ht="15.75">
      <c r="BU8045" s="8"/>
      <c r="BZ8045" s="8"/>
      <c r="CD8045" s="8"/>
    </row>
    <row r="8046" spans="73:82" ht="15.75">
      <c r="BU8046" s="8"/>
      <c r="BZ8046" s="8"/>
      <c r="CD8046" s="8"/>
    </row>
    <row r="8047" spans="73:82" ht="15.75">
      <c r="BU8047" s="8"/>
      <c r="BZ8047" s="8"/>
      <c r="CD8047" s="8"/>
    </row>
    <row r="8048" spans="73:82" ht="15.75">
      <c r="BU8048" s="8"/>
      <c r="BZ8048" s="8"/>
      <c r="CD8048" s="8"/>
    </row>
    <row r="8049" spans="73:82" ht="15.75">
      <c r="BU8049" s="8"/>
      <c r="BZ8049" s="8"/>
      <c r="CD8049" s="8"/>
    </row>
    <row r="8050" spans="73:82" ht="15.75">
      <c r="BU8050" s="8"/>
      <c r="BZ8050" s="8"/>
      <c r="CD8050" s="8"/>
    </row>
    <row r="8051" spans="73:82" ht="15.75">
      <c r="BU8051" s="8"/>
      <c r="BZ8051" s="8"/>
      <c r="CD8051" s="8"/>
    </row>
    <row r="8052" spans="73:82" ht="15.75">
      <c r="BU8052" s="8"/>
      <c r="BZ8052" s="8"/>
      <c r="CD8052" s="8"/>
    </row>
    <row r="8053" spans="73:82" ht="15.75">
      <c r="BU8053" s="8"/>
      <c r="BZ8053" s="8"/>
      <c r="CD8053" s="8"/>
    </row>
    <row r="8054" spans="73:82" ht="15.75">
      <c r="BU8054" s="8"/>
      <c r="BZ8054" s="8"/>
      <c r="CD8054" s="8"/>
    </row>
    <row r="8055" spans="73:82" ht="15.75">
      <c r="BU8055" s="8"/>
      <c r="BZ8055" s="8"/>
      <c r="CD8055" s="8"/>
    </row>
    <row r="8056" spans="73:82" ht="15.75">
      <c r="BU8056" s="8"/>
      <c r="BZ8056" s="8"/>
      <c r="CD8056" s="8"/>
    </row>
    <row r="8057" spans="73:82" ht="15.75">
      <c r="BU8057" s="8"/>
      <c r="BZ8057" s="8"/>
      <c r="CD8057" s="8"/>
    </row>
    <row r="8058" spans="73:82" ht="15.75">
      <c r="BU8058" s="8"/>
      <c r="BZ8058" s="8"/>
      <c r="CD8058" s="8"/>
    </row>
    <row r="8059" spans="73:82" ht="15.75">
      <c r="BU8059" s="8"/>
      <c r="BZ8059" s="8"/>
      <c r="CD8059" s="8"/>
    </row>
    <row r="8060" spans="73:82" ht="15.75">
      <c r="BU8060" s="8"/>
      <c r="BZ8060" s="8"/>
      <c r="CD8060" s="8"/>
    </row>
    <row r="8061" spans="73:82" ht="15.75">
      <c r="BU8061" s="8"/>
      <c r="BZ8061" s="8"/>
      <c r="CD8061" s="8"/>
    </row>
    <row r="8062" spans="73:82" ht="15.75">
      <c r="BU8062" s="8"/>
      <c r="BZ8062" s="8"/>
      <c r="CD8062" s="8"/>
    </row>
    <row r="8063" spans="73:82" ht="15.75">
      <c r="BU8063" s="8"/>
      <c r="BZ8063" s="8"/>
      <c r="CD8063" s="8"/>
    </row>
    <row r="8064" spans="73:82" ht="15.75">
      <c r="BU8064" s="8"/>
      <c r="BZ8064" s="8"/>
      <c r="CD8064" s="8"/>
    </row>
    <row r="8065" spans="73:82" ht="15.75">
      <c r="BU8065" s="8"/>
      <c r="BZ8065" s="8"/>
      <c r="CD8065" s="8"/>
    </row>
    <row r="8066" spans="73:82" ht="15.75">
      <c r="BU8066" s="8"/>
      <c r="BZ8066" s="8"/>
      <c r="CD8066" s="8"/>
    </row>
    <row r="8067" spans="73:82" ht="15.75">
      <c r="BU8067" s="8"/>
      <c r="BZ8067" s="8"/>
      <c r="CD8067" s="8"/>
    </row>
    <row r="8068" spans="73:82" ht="15.75">
      <c r="BU8068" s="8"/>
      <c r="BZ8068" s="8"/>
      <c r="CD8068" s="8"/>
    </row>
    <row r="8069" spans="73:82" ht="15.75">
      <c r="BU8069" s="8"/>
      <c r="BZ8069" s="8"/>
      <c r="CD8069" s="8"/>
    </row>
    <row r="8070" spans="73:82" ht="15.75">
      <c r="BU8070" s="8"/>
      <c r="BZ8070" s="8"/>
      <c r="CD8070" s="8"/>
    </row>
    <row r="8071" spans="73:82" ht="15.75">
      <c r="BU8071" s="8"/>
      <c r="BZ8071" s="8"/>
      <c r="CD8071" s="8"/>
    </row>
    <row r="8072" spans="73:82" ht="15.75">
      <c r="BU8072" s="8"/>
      <c r="BZ8072" s="8"/>
      <c r="CD8072" s="8"/>
    </row>
    <row r="8073" spans="73:82" ht="15.75">
      <c r="BU8073" s="8"/>
      <c r="BZ8073" s="8"/>
      <c r="CD8073" s="8"/>
    </row>
    <row r="8074" spans="73:82" ht="15.75">
      <c r="BU8074" s="8"/>
      <c r="BZ8074" s="8"/>
      <c r="CD8074" s="8"/>
    </row>
    <row r="8075" spans="73:82" ht="15.75">
      <c r="BU8075" s="8"/>
      <c r="BZ8075" s="8"/>
      <c r="CD8075" s="8"/>
    </row>
    <row r="8076" spans="73:82" ht="15.75">
      <c r="BU8076" s="8"/>
      <c r="BZ8076" s="8"/>
      <c r="CD8076" s="8"/>
    </row>
    <row r="8077" spans="73:82" ht="15.75">
      <c r="BU8077" s="8"/>
      <c r="BZ8077" s="8"/>
      <c r="CD8077" s="8"/>
    </row>
    <row r="8078" spans="73:82" ht="15.75">
      <c r="BU8078" s="8"/>
      <c r="BZ8078" s="8"/>
      <c r="CD8078" s="8"/>
    </row>
    <row r="8079" spans="73:82" ht="15.75">
      <c r="BU8079" s="8"/>
      <c r="BZ8079" s="8"/>
      <c r="CD8079" s="8"/>
    </row>
    <row r="8080" spans="73:82" ht="15.75">
      <c r="BU8080" s="8"/>
      <c r="BZ8080" s="8"/>
      <c r="CD8080" s="8"/>
    </row>
    <row r="8081" spans="73:82" ht="15.75">
      <c r="BU8081" s="8"/>
      <c r="BZ8081" s="8"/>
      <c r="CD8081" s="8"/>
    </row>
    <row r="8082" spans="73:82" ht="15.75">
      <c r="BU8082" s="8"/>
      <c r="BZ8082" s="8"/>
      <c r="CD8082" s="8"/>
    </row>
    <row r="8083" spans="73:82" ht="15.75">
      <c r="BU8083" s="8"/>
      <c r="BZ8083" s="8"/>
      <c r="CD8083" s="8"/>
    </row>
    <row r="8084" spans="73:82" ht="15.75">
      <c r="BU8084" s="8"/>
      <c r="BZ8084" s="8"/>
      <c r="CD8084" s="8"/>
    </row>
    <row r="8085" spans="73:82" ht="15.75">
      <c r="BU8085" s="8"/>
      <c r="BZ8085" s="8"/>
      <c r="CD8085" s="8"/>
    </row>
    <row r="8086" spans="73:82" ht="15.75">
      <c r="BU8086" s="8"/>
      <c r="BZ8086" s="8"/>
      <c r="CD8086" s="8"/>
    </row>
    <row r="8087" spans="73:82" ht="15.75">
      <c r="BU8087" s="8"/>
      <c r="BZ8087" s="8"/>
      <c r="CD8087" s="8"/>
    </row>
    <row r="8088" spans="73:82" ht="15.75">
      <c r="BU8088" s="8"/>
      <c r="BZ8088" s="8"/>
      <c r="CD8088" s="8"/>
    </row>
    <row r="8089" spans="73:82" ht="15.75">
      <c r="BU8089" s="8"/>
      <c r="BZ8089" s="8"/>
      <c r="CD8089" s="8"/>
    </row>
    <row r="8090" spans="73:82" ht="15.75">
      <c r="BU8090" s="8"/>
      <c r="BZ8090" s="8"/>
      <c r="CD8090" s="8"/>
    </row>
    <row r="8091" spans="73:82" ht="15.75">
      <c r="BU8091" s="8"/>
      <c r="BZ8091" s="8"/>
      <c r="CD8091" s="8"/>
    </row>
    <row r="8092" spans="73:82" ht="15.75">
      <c r="BU8092" s="8"/>
      <c r="BZ8092" s="8"/>
      <c r="CD8092" s="8"/>
    </row>
    <row r="8093" spans="73:82" ht="15.75">
      <c r="BU8093" s="8"/>
      <c r="BZ8093" s="8"/>
      <c r="CD8093" s="8"/>
    </row>
    <row r="8094" spans="73:82" ht="15.75">
      <c r="BU8094" s="8"/>
      <c r="BZ8094" s="8"/>
      <c r="CD8094" s="8"/>
    </row>
    <row r="8095" spans="73:82" ht="15.75">
      <c r="BU8095" s="8"/>
      <c r="BZ8095" s="8"/>
      <c r="CD8095" s="8"/>
    </row>
    <row r="8096" spans="73:82" ht="15.75">
      <c r="BU8096" s="8"/>
      <c r="BZ8096" s="8"/>
      <c r="CD8096" s="8"/>
    </row>
    <row r="8097" spans="73:82" ht="15.75">
      <c r="BU8097" s="8"/>
      <c r="BZ8097" s="8"/>
      <c r="CD8097" s="8"/>
    </row>
    <row r="8098" spans="73:82" ht="15.75">
      <c r="BU8098" s="8"/>
      <c r="BZ8098" s="8"/>
      <c r="CD8098" s="8"/>
    </row>
    <row r="8099" spans="73:82" ht="15.75">
      <c r="BU8099" s="8"/>
      <c r="BZ8099" s="8"/>
      <c r="CD8099" s="8"/>
    </row>
    <row r="8100" spans="73:82" ht="15.75">
      <c r="BU8100" s="8"/>
      <c r="BZ8100" s="8"/>
      <c r="CD8100" s="8"/>
    </row>
    <row r="8101" spans="73:82" ht="15.75">
      <c r="BU8101" s="8"/>
      <c r="BZ8101" s="8"/>
      <c r="CD8101" s="8"/>
    </row>
    <row r="8102" spans="73:82" ht="15.75">
      <c r="BU8102" s="8"/>
      <c r="BZ8102" s="8"/>
      <c r="CD8102" s="8"/>
    </row>
    <row r="8103" spans="73:82" ht="15.75">
      <c r="BU8103" s="8"/>
      <c r="BZ8103" s="8"/>
      <c r="CD8103" s="8"/>
    </row>
    <row r="8104" spans="73:82" ht="15.75">
      <c r="BU8104" s="8"/>
      <c r="BZ8104" s="8"/>
      <c r="CD8104" s="8"/>
    </row>
    <row r="8105" spans="73:82" ht="15.75">
      <c r="BU8105" s="8"/>
      <c r="BZ8105" s="8"/>
      <c r="CD8105" s="8"/>
    </row>
    <row r="8106" spans="73:82" ht="15.75">
      <c r="BU8106" s="8"/>
      <c r="BZ8106" s="8"/>
      <c r="CD8106" s="8"/>
    </row>
    <row r="8107" spans="73:82" ht="15.75">
      <c r="BU8107" s="8"/>
      <c r="BZ8107" s="8"/>
      <c r="CD8107" s="8"/>
    </row>
    <row r="8108" spans="73:82" ht="15.75">
      <c r="BU8108" s="8"/>
      <c r="BZ8108" s="8"/>
      <c r="CD8108" s="8"/>
    </row>
    <row r="8109" spans="73:82" ht="15.75">
      <c r="BU8109" s="8"/>
      <c r="BZ8109" s="8"/>
      <c r="CD8109" s="8"/>
    </row>
    <row r="8110" spans="73:82" ht="15.75">
      <c r="BU8110" s="8"/>
      <c r="BZ8110" s="8"/>
      <c r="CD8110" s="8"/>
    </row>
    <row r="8111" spans="73:82" ht="15.75">
      <c r="BU8111" s="8"/>
      <c r="BZ8111" s="8"/>
      <c r="CD8111" s="8"/>
    </row>
    <row r="8112" spans="73:82" ht="15.75">
      <c r="BU8112" s="8"/>
      <c r="BZ8112" s="8"/>
      <c r="CD8112" s="8"/>
    </row>
    <row r="8113" spans="73:82" ht="15.75">
      <c r="BU8113" s="8"/>
      <c r="BZ8113" s="8"/>
      <c r="CD8113" s="8"/>
    </row>
    <row r="8114" spans="73:82" ht="15.75">
      <c r="BU8114" s="8"/>
      <c r="BZ8114" s="8"/>
      <c r="CD8114" s="8"/>
    </row>
    <row r="8115" spans="73:82" ht="15.75">
      <c r="BU8115" s="8"/>
      <c r="BZ8115" s="8"/>
      <c r="CD8115" s="8"/>
    </row>
    <row r="8116" spans="73:82" ht="15.75">
      <c r="BU8116" s="8"/>
      <c r="BZ8116" s="8"/>
      <c r="CD8116" s="8"/>
    </row>
    <row r="8117" spans="73:82" ht="15.75">
      <c r="BU8117" s="8"/>
      <c r="BZ8117" s="8"/>
      <c r="CD8117" s="8"/>
    </row>
    <row r="8118" spans="73:82" ht="15.75">
      <c r="BU8118" s="8"/>
      <c r="BZ8118" s="8"/>
      <c r="CD8118" s="8"/>
    </row>
    <row r="8119" spans="73:82" ht="15.75">
      <c r="BU8119" s="8"/>
      <c r="BZ8119" s="8"/>
      <c r="CD8119" s="8"/>
    </row>
    <row r="8120" spans="73:82" ht="15.75">
      <c r="BU8120" s="8"/>
      <c r="BZ8120" s="8"/>
      <c r="CD8120" s="8"/>
    </row>
    <row r="8121" spans="73:82" ht="15.75">
      <c r="BU8121" s="8"/>
      <c r="BZ8121" s="8"/>
      <c r="CD8121" s="8"/>
    </row>
    <row r="8122" spans="73:82" ht="15.75">
      <c r="BU8122" s="8"/>
      <c r="BZ8122" s="8"/>
      <c r="CD8122" s="8"/>
    </row>
    <row r="8123" spans="73:82" ht="15.75">
      <c r="BU8123" s="8"/>
      <c r="BZ8123" s="8"/>
      <c r="CD8123" s="8"/>
    </row>
    <row r="8124" spans="73:82" ht="15.75">
      <c r="BU8124" s="8"/>
      <c r="BZ8124" s="8"/>
      <c r="CD8124" s="8"/>
    </row>
    <row r="8125" spans="73:82" ht="15.75">
      <c r="BU8125" s="8"/>
      <c r="BZ8125" s="8"/>
      <c r="CD8125" s="8"/>
    </row>
    <row r="8126" spans="73:82" ht="15.75">
      <c r="BU8126" s="8"/>
      <c r="BZ8126" s="8"/>
      <c r="CD8126" s="8"/>
    </row>
    <row r="8127" spans="73:82" ht="15.75">
      <c r="BU8127" s="8"/>
      <c r="BZ8127" s="8"/>
      <c r="CD8127" s="8"/>
    </row>
    <row r="8128" spans="73:82" ht="15.75">
      <c r="BU8128" s="8"/>
      <c r="BZ8128" s="8"/>
      <c r="CD8128" s="8"/>
    </row>
    <row r="8129" spans="73:82" ht="15.75">
      <c r="BU8129" s="8"/>
      <c r="BZ8129" s="8"/>
      <c r="CD8129" s="8"/>
    </row>
    <row r="8130" spans="73:82" ht="15.75">
      <c r="BU8130" s="8"/>
      <c r="BZ8130" s="8"/>
      <c r="CD8130" s="8"/>
    </row>
    <row r="8131" spans="73:82" ht="15.75">
      <c r="BU8131" s="8"/>
      <c r="BZ8131" s="8"/>
      <c r="CD8131" s="8"/>
    </row>
    <row r="8132" spans="73:82" ht="15.75">
      <c r="BU8132" s="8"/>
      <c r="BZ8132" s="8"/>
      <c r="CD8132" s="8"/>
    </row>
    <row r="8133" spans="73:82" ht="15.75">
      <c r="BU8133" s="8"/>
      <c r="BZ8133" s="8"/>
      <c r="CD8133" s="8"/>
    </row>
    <row r="8134" spans="73:82" ht="15.75">
      <c r="BU8134" s="8"/>
      <c r="BZ8134" s="8"/>
      <c r="CD8134" s="8"/>
    </row>
    <row r="8135" spans="73:82" ht="15.75">
      <c r="BU8135" s="8"/>
      <c r="BZ8135" s="8"/>
      <c r="CD8135" s="8"/>
    </row>
    <row r="8136" spans="73:82" ht="15.75">
      <c r="BU8136" s="8"/>
      <c r="BZ8136" s="8"/>
      <c r="CD8136" s="8"/>
    </row>
    <row r="8137" spans="73:82" ht="15.75">
      <c r="BU8137" s="8"/>
      <c r="BZ8137" s="8"/>
      <c r="CD8137" s="8"/>
    </row>
    <row r="8138" spans="73:82" ht="15.75">
      <c r="BU8138" s="8"/>
      <c r="BZ8138" s="8"/>
      <c r="CD8138" s="8"/>
    </row>
    <row r="8139" spans="73:82" ht="15.75">
      <c r="BU8139" s="8"/>
      <c r="BZ8139" s="8"/>
      <c r="CD8139" s="8"/>
    </row>
    <row r="8140" spans="73:82" ht="15.75">
      <c r="BU8140" s="8"/>
      <c r="BZ8140" s="8"/>
      <c r="CD8140" s="8"/>
    </row>
    <row r="8141" spans="73:82" ht="15.75">
      <c r="BU8141" s="8"/>
      <c r="BZ8141" s="8"/>
      <c r="CD8141" s="8"/>
    </row>
    <row r="8142" spans="73:82" ht="15.75">
      <c r="BU8142" s="8"/>
      <c r="BZ8142" s="8"/>
      <c r="CD8142" s="8"/>
    </row>
    <row r="8143" spans="73:82" ht="15.75">
      <c r="BU8143" s="8"/>
      <c r="BZ8143" s="8"/>
      <c r="CD8143" s="8"/>
    </row>
    <row r="8144" spans="73:82" ht="15.75">
      <c r="BU8144" s="8"/>
      <c r="BZ8144" s="8"/>
      <c r="CD8144" s="8"/>
    </row>
    <row r="8145" spans="73:82" ht="15.75">
      <c r="BU8145" s="8"/>
      <c r="BZ8145" s="8"/>
      <c r="CD8145" s="8"/>
    </row>
    <row r="8146" spans="73:82" ht="15.75">
      <c r="BU8146" s="8"/>
      <c r="BZ8146" s="8"/>
      <c r="CD8146" s="8"/>
    </row>
    <row r="8147" spans="73:82" ht="15.75">
      <c r="BU8147" s="8"/>
      <c r="BZ8147" s="8"/>
      <c r="CD8147" s="8"/>
    </row>
    <row r="8148" spans="73:82" ht="15.75">
      <c r="BU8148" s="8"/>
      <c r="BZ8148" s="8"/>
      <c r="CD8148" s="8"/>
    </row>
    <row r="8149" spans="73:82" ht="15.75">
      <c r="BU8149" s="8"/>
      <c r="BZ8149" s="8"/>
      <c r="CD8149" s="8"/>
    </row>
    <row r="8150" spans="73:82" ht="15.75">
      <c r="BU8150" s="8"/>
      <c r="BZ8150" s="8"/>
      <c r="CD8150" s="8"/>
    </row>
    <row r="8151" spans="73:82" ht="15.75">
      <c r="BU8151" s="8"/>
      <c r="BZ8151" s="8"/>
      <c r="CD8151" s="8"/>
    </row>
    <row r="8152" spans="73:82" ht="15.75">
      <c r="BU8152" s="8"/>
      <c r="BZ8152" s="8"/>
      <c r="CD8152" s="8"/>
    </row>
    <row r="8153" spans="73:82" ht="15.75">
      <c r="BU8153" s="8"/>
      <c r="BZ8153" s="8"/>
      <c r="CD8153" s="8"/>
    </row>
    <row r="8154" spans="73:82" ht="15.75">
      <c r="BU8154" s="8"/>
      <c r="BZ8154" s="8"/>
      <c r="CD8154" s="8"/>
    </row>
    <row r="8155" spans="73:82" ht="15.75">
      <c r="BU8155" s="8"/>
      <c r="BZ8155" s="8"/>
      <c r="CD8155" s="8"/>
    </row>
    <row r="8156" spans="73:82" ht="15.75">
      <c r="BU8156" s="8"/>
      <c r="BZ8156" s="8"/>
      <c r="CD8156" s="8"/>
    </row>
    <row r="8157" spans="73:82" ht="15.75">
      <c r="BU8157" s="8"/>
      <c r="BZ8157" s="8"/>
      <c r="CD8157" s="8"/>
    </row>
    <row r="8158" spans="73:82" ht="15.75">
      <c r="BU8158" s="8"/>
      <c r="BZ8158" s="8"/>
      <c r="CD8158" s="8"/>
    </row>
    <row r="8159" spans="73:82" ht="15.75">
      <c r="BU8159" s="8"/>
      <c r="BZ8159" s="8"/>
      <c r="CD8159" s="8"/>
    </row>
    <row r="8160" spans="73:82" ht="15.75">
      <c r="BU8160" s="8"/>
      <c r="BZ8160" s="8"/>
      <c r="CD8160" s="8"/>
    </row>
    <row r="8161" spans="73:82" ht="15.75">
      <c r="BU8161" s="8"/>
      <c r="BZ8161" s="8"/>
      <c r="CD8161" s="8"/>
    </row>
    <row r="8162" spans="73:82" ht="15.75">
      <c r="BU8162" s="8"/>
      <c r="BZ8162" s="8"/>
      <c r="CD8162" s="8"/>
    </row>
    <row r="8163" spans="73:82" ht="15.75">
      <c r="BU8163" s="8"/>
      <c r="BZ8163" s="8"/>
      <c r="CD8163" s="8"/>
    </row>
    <row r="8164" spans="73:82" ht="15.75">
      <c r="BU8164" s="8"/>
      <c r="BZ8164" s="8"/>
      <c r="CD8164" s="8"/>
    </row>
    <row r="8165" spans="73:82" ht="15.75">
      <c r="BU8165" s="8"/>
      <c r="BZ8165" s="8"/>
      <c r="CD8165" s="8"/>
    </row>
    <row r="8166" spans="73:82" ht="15.75">
      <c r="BU8166" s="8"/>
      <c r="BZ8166" s="8"/>
      <c r="CD8166" s="8"/>
    </row>
    <row r="8167" spans="73:82" ht="15.75">
      <c r="BU8167" s="8"/>
      <c r="BZ8167" s="8"/>
      <c r="CD8167" s="8"/>
    </row>
    <row r="8168" spans="73:82" ht="15.75">
      <c r="BU8168" s="8"/>
      <c r="BZ8168" s="8"/>
      <c r="CD8168" s="8"/>
    </row>
    <row r="8169" spans="73:82" ht="15.75">
      <c r="BU8169" s="8"/>
      <c r="BZ8169" s="8"/>
      <c r="CD8169" s="8"/>
    </row>
    <row r="8170" spans="73:82" ht="15.75">
      <c r="BU8170" s="8"/>
      <c r="BZ8170" s="8"/>
      <c r="CD8170" s="8"/>
    </row>
    <row r="8171" spans="73:82" ht="15.75">
      <c r="BU8171" s="8"/>
      <c r="BZ8171" s="8"/>
      <c r="CD8171" s="8"/>
    </row>
    <row r="8172" spans="73:82" ht="15.75">
      <c r="BU8172" s="8"/>
      <c r="BZ8172" s="8"/>
      <c r="CD8172" s="8"/>
    </row>
    <row r="8173" spans="73:82" ht="15.75">
      <c r="BU8173" s="8"/>
      <c r="BZ8173" s="8"/>
      <c r="CD8173" s="8"/>
    </row>
    <row r="8174" spans="73:82" ht="15.75">
      <c r="BU8174" s="8"/>
      <c r="BZ8174" s="8"/>
      <c r="CD8174" s="8"/>
    </row>
    <row r="8175" spans="73:82" ht="15.75">
      <c r="BU8175" s="8"/>
      <c r="BZ8175" s="8"/>
      <c r="CD8175" s="8"/>
    </row>
    <row r="8176" spans="73:82" ht="15.75">
      <c r="BU8176" s="8"/>
      <c r="BZ8176" s="8"/>
      <c r="CD8176" s="8"/>
    </row>
    <row r="8177" spans="73:82" ht="15.75">
      <c r="BU8177" s="8"/>
      <c r="BZ8177" s="8"/>
      <c r="CD8177" s="8"/>
    </row>
    <row r="8178" spans="73:82" ht="15.75">
      <c r="BU8178" s="8"/>
      <c r="BZ8178" s="8"/>
      <c r="CD8178" s="8"/>
    </row>
    <row r="8179" spans="73:82" ht="15.75">
      <c r="BU8179" s="8"/>
      <c r="BZ8179" s="8"/>
      <c r="CD8179" s="8"/>
    </row>
    <row r="8180" spans="73:82" ht="15.75">
      <c r="BU8180" s="8"/>
      <c r="BZ8180" s="8"/>
      <c r="CD8180" s="8"/>
    </row>
    <row r="8181" spans="73:82" ht="15.75">
      <c r="BU8181" s="8"/>
      <c r="BZ8181" s="8"/>
      <c r="CD8181" s="8"/>
    </row>
    <row r="8182" spans="73:82" ht="15.75">
      <c r="BU8182" s="8"/>
      <c r="BZ8182" s="8"/>
      <c r="CD8182" s="8"/>
    </row>
    <row r="8183" spans="73:82" ht="15.75">
      <c r="BU8183" s="8"/>
      <c r="BZ8183" s="8"/>
      <c r="CD8183" s="8"/>
    </row>
    <row r="8184" spans="73:82" ht="15.75">
      <c r="BU8184" s="8"/>
      <c r="BZ8184" s="8"/>
      <c r="CD8184" s="8"/>
    </row>
    <row r="8185" spans="73:82" ht="15.75">
      <c r="BU8185" s="8"/>
      <c r="BZ8185" s="8"/>
      <c r="CD8185" s="8"/>
    </row>
    <row r="8186" spans="73:82" ht="15.75">
      <c r="BU8186" s="8"/>
      <c r="BZ8186" s="8"/>
      <c r="CD8186" s="8"/>
    </row>
    <row r="8187" spans="73:82" ht="15.75">
      <c r="BU8187" s="8"/>
      <c r="BZ8187" s="8"/>
      <c r="CD8187" s="8"/>
    </row>
    <row r="8188" spans="73:82" ht="15.75">
      <c r="BU8188" s="8"/>
      <c r="BZ8188" s="8"/>
      <c r="CD8188" s="8"/>
    </row>
    <row r="8189" spans="73:82" ht="15.75">
      <c r="BU8189" s="8"/>
      <c r="BZ8189" s="8"/>
      <c r="CD8189" s="8"/>
    </row>
    <row r="8190" spans="73:82" ht="15.75">
      <c r="BU8190" s="8"/>
      <c r="BZ8190" s="8"/>
      <c r="CD8190" s="8"/>
    </row>
    <row r="8191" spans="73:82" ht="15.75">
      <c r="BU8191" s="8"/>
      <c r="BZ8191" s="8"/>
      <c r="CD8191" s="8"/>
    </row>
    <row r="8192" spans="73:82" ht="15.75">
      <c r="BU8192" s="8"/>
      <c r="BZ8192" s="8"/>
      <c r="CD8192" s="8"/>
    </row>
  </sheetData>
  <sheetProtection/>
  <printOptions/>
  <pageMargins left="0.5" right="0.5" top="0.5" bottom="0.587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63"/>
  <sheetViews>
    <sheetView tabSelected="1" zoomScalePageLayoutView="0" workbookViewId="0" topLeftCell="A1">
      <pane ySplit="2835" topLeftCell="A41" activePane="bottomLeft" state="split"/>
      <selection pane="topLeft" activeCell="M48" sqref="M48"/>
      <selection pane="bottomLeft" activeCell="H50" sqref="H50"/>
    </sheetView>
  </sheetViews>
  <sheetFormatPr defaultColWidth="8.796875" defaultRowHeight="15"/>
  <cols>
    <col min="1" max="1" width="9" style="17" customWidth="1"/>
    <col min="2" max="2" width="14.3984375" style="0" bestFit="1" customWidth="1"/>
    <col min="11" max="13" width="9" style="17" customWidth="1"/>
    <col min="28" max="30" width="9" style="17" customWidth="1"/>
    <col min="39" max="41" width="9" style="17" customWidth="1"/>
    <col min="56" max="58" width="9" style="17" customWidth="1"/>
    <col min="113" max="115" width="9" style="17" customWidth="1"/>
    <col min="164" max="170" width="9" style="0" customWidth="1"/>
    <col min="171" max="173" width="9" style="17" customWidth="1"/>
  </cols>
  <sheetData>
    <row r="1" spans="2:202" ht="15.75">
      <c r="B1" t="s">
        <v>0</v>
      </c>
      <c r="C1" t="s">
        <v>65</v>
      </c>
      <c r="E1" t="s">
        <v>71</v>
      </c>
      <c r="G1" t="s">
        <v>74</v>
      </c>
      <c r="N1" t="s">
        <v>79</v>
      </c>
      <c r="T1" t="s">
        <v>86</v>
      </c>
      <c r="V1" t="s">
        <v>89</v>
      </c>
      <c r="X1" t="s">
        <v>92</v>
      </c>
      <c r="AE1" t="s">
        <v>98</v>
      </c>
      <c r="AI1" t="s">
        <v>103</v>
      </c>
      <c r="AK1" t="s">
        <v>106</v>
      </c>
      <c r="AP1" t="s">
        <v>110</v>
      </c>
      <c r="AT1" t="s">
        <v>115</v>
      </c>
      <c r="AZ1" t="s">
        <v>122</v>
      </c>
      <c r="BB1" t="s">
        <v>125</v>
      </c>
      <c r="BG1" t="s">
        <v>129</v>
      </c>
      <c r="BM1" t="s">
        <v>135</v>
      </c>
      <c r="CR1" t="s">
        <v>166</v>
      </c>
      <c r="CT1" t="s">
        <v>167</v>
      </c>
      <c r="DG1" t="s">
        <v>167</v>
      </c>
      <c r="DL1" t="s">
        <v>182</v>
      </c>
      <c r="DN1" t="s">
        <v>185</v>
      </c>
      <c r="DO1" t="s">
        <v>188</v>
      </c>
      <c r="DS1" t="s">
        <v>188</v>
      </c>
      <c r="DU1" t="s">
        <v>191</v>
      </c>
      <c r="DV1" t="s">
        <v>191</v>
      </c>
      <c r="EB1" t="s">
        <v>198</v>
      </c>
      <c r="ED1" t="s">
        <v>199</v>
      </c>
      <c r="EE1" t="s">
        <v>199</v>
      </c>
      <c r="EK1" t="s">
        <v>199</v>
      </c>
      <c r="EM1" t="s">
        <v>206</v>
      </c>
      <c r="EN1" t="s">
        <v>206</v>
      </c>
      <c r="EV1" t="s">
        <v>206</v>
      </c>
      <c r="EX1" t="s">
        <v>213</v>
      </c>
      <c r="EY1" t="s">
        <v>216</v>
      </c>
      <c r="FM1" t="s">
        <v>227</v>
      </c>
      <c r="FR1" t="s">
        <v>229</v>
      </c>
      <c r="GH1" t="s">
        <v>245</v>
      </c>
      <c r="GN1" t="s">
        <v>252</v>
      </c>
      <c r="GR1" t="s">
        <v>257</v>
      </c>
      <c r="GT1" t="s">
        <v>260</v>
      </c>
    </row>
    <row r="2" spans="2:210" ht="15.75">
      <c r="B2" t="s">
        <v>1</v>
      </c>
      <c r="C2" t="s">
        <v>66</v>
      </c>
      <c r="E2" t="s">
        <v>72</v>
      </c>
      <c r="G2" t="s">
        <v>75</v>
      </c>
      <c r="I2" t="s">
        <v>77</v>
      </c>
      <c r="K2" s="17" t="s">
        <v>69</v>
      </c>
      <c r="N2" t="s">
        <v>80</v>
      </c>
      <c r="P2" t="s">
        <v>82</v>
      </c>
      <c r="R2" t="s">
        <v>84</v>
      </c>
      <c r="T2" t="s">
        <v>87</v>
      </c>
      <c r="V2" t="s">
        <v>90</v>
      </c>
      <c r="X2" t="s">
        <v>93</v>
      </c>
      <c r="Z2" t="s">
        <v>95</v>
      </c>
      <c r="AB2" s="17" t="s">
        <v>97</v>
      </c>
      <c r="AE2" t="s">
        <v>99</v>
      </c>
      <c r="AG2" t="s">
        <v>101</v>
      </c>
      <c r="AI2" t="s">
        <v>104</v>
      </c>
      <c r="AK2" t="s">
        <v>107</v>
      </c>
      <c r="AM2" s="17" t="s">
        <v>109</v>
      </c>
      <c r="AP2" t="s">
        <v>111</v>
      </c>
      <c r="AR2" t="s">
        <v>113</v>
      </c>
      <c r="AT2" t="s">
        <v>116</v>
      </c>
      <c r="AV2" t="s">
        <v>118</v>
      </c>
      <c r="AX2" t="s">
        <v>120</v>
      </c>
      <c r="AZ2" t="s">
        <v>123</v>
      </c>
      <c r="BB2" t="s">
        <v>126</v>
      </c>
      <c r="BD2" s="17" t="s">
        <v>128</v>
      </c>
      <c r="BG2" t="s">
        <v>130</v>
      </c>
      <c r="BI2" t="s">
        <v>132</v>
      </c>
      <c r="BM2" t="s">
        <v>136</v>
      </c>
      <c r="BN2" t="s">
        <v>138</v>
      </c>
      <c r="BP2" t="s">
        <v>140</v>
      </c>
      <c r="BR2" t="s">
        <v>142</v>
      </c>
      <c r="BT2" t="s">
        <v>145</v>
      </c>
      <c r="BV2" t="s">
        <v>147</v>
      </c>
      <c r="BX2" t="s">
        <v>149</v>
      </c>
      <c r="BZ2" t="s">
        <v>152</v>
      </c>
      <c r="CB2" t="s">
        <v>154</v>
      </c>
      <c r="CD2" t="s">
        <v>156</v>
      </c>
      <c r="CF2" t="s">
        <v>158</v>
      </c>
      <c r="CH2" t="s">
        <v>160</v>
      </c>
      <c r="CJ2" t="s">
        <v>161</v>
      </c>
      <c r="CL2" t="s">
        <v>162</v>
      </c>
      <c r="CN2" t="s">
        <v>163</v>
      </c>
      <c r="CP2" t="s">
        <v>164</v>
      </c>
      <c r="CT2" t="s">
        <v>168</v>
      </c>
      <c r="CU2" t="s">
        <v>170</v>
      </c>
      <c r="CW2" t="s">
        <v>172</v>
      </c>
      <c r="CY2" t="s">
        <v>173</v>
      </c>
      <c r="DA2" t="s">
        <v>175</v>
      </c>
      <c r="DC2" t="s">
        <v>177</v>
      </c>
      <c r="DE2" t="s">
        <v>179</v>
      </c>
      <c r="DI2" s="17" t="s">
        <v>181</v>
      </c>
      <c r="DL2" t="s">
        <v>183</v>
      </c>
      <c r="DN2" t="s">
        <v>186</v>
      </c>
      <c r="DO2" t="s">
        <v>186</v>
      </c>
      <c r="DQ2" t="s">
        <v>189</v>
      </c>
      <c r="DU2" t="s">
        <v>192</v>
      </c>
      <c r="DV2" t="s">
        <v>192</v>
      </c>
      <c r="DX2" t="s">
        <v>194</v>
      </c>
      <c r="DZ2" t="s">
        <v>196</v>
      </c>
      <c r="ED2" t="s">
        <v>200</v>
      </c>
      <c r="EE2" t="s">
        <v>202</v>
      </c>
      <c r="EG2" t="s">
        <v>203</v>
      </c>
      <c r="EI2" t="s">
        <v>204</v>
      </c>
      <c r="EM2" t="s">
        <v>207</v>
      </c>
      <c r="EN2" t="s">
        <v>207</v>
      </c>
      <c r="EP2" t="s">
        <v>209</v>
      </c>
      <c r="ER2" t="s">
        <v>211</v>
      </c>
      <c r="ET2" t="s">
        <v>212</v>
      </c>
      <c r="EX2" t="s">
        <v>214</v>
      </c>
      <c r="EY2" t="s">
        <v>214</v>
      </c>
      <c r="FA2" t="s">
        <v>217</v>
      </c>
      <c r="FC2" t="s">
        <v>219</v>
      </c>
      <c r="FE2" t="s">
        <v>220</v>
      </c>
      <c r="FG2" t="s">
        <v>222</v>
      </c>
      <c r="FI2" t="s">
        <v>224</v>
      </c>
      <c r="FK2" t="s">
        <v>226</v>
      </c>
      <c r="FO2" s="17" t="s">
        <v>228</v>
      </c>
      <c r="FR2" t="s">
        <v>230</v>
      </c>
      <c r="FT2" t="s">
        <v>232</v>
      </c>
      <c r="FV2" t="s">
        <v>234</v>
      </c>
      <c r="FX2" t="s">
        <v>235</v>
      </c>
      <c r="FZ2" t="s">
        <v>237</v>
      </c>
      <c r="GB2" t="s">
        <v>239</v>
      </c>
      <c r="GD2" t="s">
        <v>241</v>
      </c>
      <c r="GF2" t="s">
        <v>243</v>
      </c>
      <c r="GH2" t="s">
        <v>246</v>
      </c>
      <c r="GJ2" t="s">
        <v>248</v>
      </c>
      <c r="GL2" t="s">
        <v>250</v>
      </c>
      <c r="GN2" t="s">
        <v>253</v>
      </c>
      <c r="GP2" t="s">
        <v>255</v>
      </c>
      <c r="GR2" t="s">
        <v>258</v>
      </c>
      <c r="GT2" t="s">
        <v>261</v>
      </c>
      <c r="GV2" t="s">
        <v>263</v>
      </c>
      <c r="GX2" t="s">
        <v>265</v>
      </c>
      <c r="GZ2" t="s">
        <v>267</v>
      </c>
      <c r="HB2" t="s">
        <v>269</v>
      </c>
    </row>
    <row r="3" spans="2:210" ht="15.75">
      <c r="B3" t="s">
        <v>2</v>
      </c>
      <c r="C3" t="s">
        <v>67</v>
      </c>
      <c r="E3" t="s">
        <v>73</v>
      </c>
      <c r="G3" t="s">
        <v>76</v>
      </c>
      <c r="I3" t="s">
        <v>78</v>
      </c>
      <c r="N3" t="s">
        <v>81</v>
      </c>
      <c r="P3" t="s">
        <v>83</v>
      </c>
      <c r="R3" t="s">
        <v>85</v>
      </c>
      <c r="T3" t="s">
        <v>88</v>
      </c>
      <c r="V3" t="s">
        <v>91</v>
      </c>
      <c r="X3" t="s">
        <v>94</v>
      </c>
      <c r="Z3" t="s">
        <v>96</v>
      </c>
      <c r="AE3" t="s">
        <v>100</v>
      </c>
      <c r="AG3" t="s">
        <v>102</v>
      </c>
      <c r="AI3" t="s">
        <v>105</v>
      </c>
      <c r="AK3" t="s">
        <v>108</v>
      </c>
      <c r="AP3" t="s">
        <v>112</v>
      </c>
      <c r="AR3" t="s">
        <v>114</v>
      </c>
      <c r="AT3" t="s">
        <v>117</v>
      </c>
      <c r="AV3" t="s">
        <v>119</v>
      </c>
      <c r="AX3" t="s">
        <v>121</v>
      </c>
      <c r="AZ3" t="s">
        <v>124</v>
      </c>
      <c r="BB3" t="s">
        <v>127</v>
      </c>
      <c r="BG3" t="s">
        <v>131</v>
      </c>
      <c r="BI3" t="s">
        <v>133</v>
      </c>
      <c r="BK3" t="s">
        <v>134</v>
      </c>
      <c r="BM3" t="s">
        <v>137</v>
      </c>
      <c r="BN3" t="s">
        <v>139</v>
      </c>
      <c r="BP3" t="s">
        <v>141</v>
      </c>
      <c r="BR3" t="s">
        <v>143</v>
      </c>
      <c r="BT3" t="s">
        <v>146</v>
      </c>
      <c r="BV3" t="s">
        <v>148</v>
      </c>
      <c r="BX3" t="s">
        <v>150</v>
      </c>
      <c r="BZ3" t="s">
        <v>153</v>
      </c>
      <c r="CB3" t="s">
        <v>155</v>
      </c>
      <c r="CD3" t="s">
        <v>157</v>
      </c>
      <c r="CF3" t="s">
        <v>159</v>
      </c>
      <c r="CP3" t="s">
        <v>165</v>
      </c>
      <c r="CR3" t="s">
        <v>134</v>
      </c>
      <c r="CT3" t="s">
        <v>169</v>
      </c>
      <c r="CU3" t="s">
        <v>171</v>
      </c>
      <c r="CY3" t="s">
        <v>174</v>
      </c>
      <c r="DA3" t="s">
        <v>176</v>
      </c>
      <c r="DC3" t="s">
        <v>178</v>
      </c>
      <c r="DE3" t="s">
        <v>180</v>
      </c>
      <c r="DG3" t="s">
        <v>134</v>
      </c>
      <c r="DL3" t="s">
        <v>184</v>
      </c>
      <c r="DN3" t="s">
        <v>187</v>
      </c>
      <c r="DO3" t="s">
        <v>187</v>
      </c>
      <c r="DQ3" t="s">
        <v>190</v>
      </c>
      <c r="DS3" t="s">
        <v>134</v>
      </c>
      <c r="DU3" t="s">
        <v>193</v>
      </c>
      <c r="DV3" t="s">
        <v>193</v>
      </c>
      <c r="DX3" t="s">
        <v>195</v>
      </c>
      <c r="DZ3" t="s">
        <v>197</v>
      </c>
      <c r="EB3" t="s">
        <v>134</v>
      </c>
      <c r="ED3" t="s">
        <v>201</v>
      </c>
      <c r="EE3" t="s">
        <v>201</v>
      </c>
      <c r="EG3" t="s">
        <v>197</v>
      </c>
      <c r="EI3" t="s">
        <v>205</v>
      </c>
      <c r="EK3" t="s">
        <v>134</v>
      </c>
      <c r="EM3" t="s">
        <v>208</v>
      </c>
      <c r="EN3" t="s">
        <v>208</v>
      </c>
      <c r="EP3" t="s">
        <v>210</v>
      </c>
      <c r="EV3" t="s">
        <v>134</v>
      </c>
      <c r="EX3" t="s">
        <v>215</v>
      </c>
      <c r="EY3" t="s">
        <v>215</v>
      </c>
      <c r="FA3" t="s">
        <v>218</v>
      </c>
      <c r="FE3" t="s">
        <v>221</v>
      </c>
      <c r="FG3" t="s">
        <v>223</v>
      </c>
      <c r="FI3" t="s">
        <v>225</v>
      </c>
      <c r="FM3" t="s">
        <v>134</v>
      </c>
      <c r="FR3" t="s">
        <v>231</v>
      </c>
      <c r="FT3" t="s">
        <v>233</v>
      </c>
      <c r="FX3" t="s">
        <v>236</v>
      </c>
      <c r="FZ3" t="s">
        <v>238</v>
      </c>
      <c r="GB3" t="s">
        <v>240</v>
      </c>
      <c r="GD3" t="s">
        <v>242</v>
      </c>
      <c r="GF3" t="s">
        <v>244</v>
      </c>
      <c r="GH3" t="s">
        <v>247</v>
      </c>
      <c r="GJ3" t="s">
        <v>249</v>
      </c>
      <c r="GL3" t="s">
        <v>251</v>
      </c>
      <c r="GN3" t="s">
        <v>254</v>
      </c>
      <c r="GP3" t="s">
        <v>256</v>
      </c>
      <c r="GR3" t="s">
        <v>259</v>
      </c>
      <c r="GT3" t="s">
        <v>262</v>
      </c>
      <c r="GV3" t="s">
        <v>264</v>
      </c>
      <c r="GX3" t="s">
        <v>266</v>
      </c>
      <c r="GZ3" t="s">
        <v>268</v>
      </c>
      <c r="HB3" t="s">
        <v>270</v>
      </c>
    </row>
    <row r="4" spans="3:211" ht="15.75">
      <c r="C4" t="s">
        <v>68</v>
      </c>
      <c r="D4" t="s">
        <v>70</v>
      </c>
      <c r="E4" t="s">
        <v>68</v>
      </c>
      <c r="F4" t="s">
        <v>70</v>
      </c>
      <c r="G4" t="s">
        <v>68</v>
      </c>
      <c r="H4" t="s">
        <v>70</v>
      </c>
      <c r="I4" t="s">
        <v>68</v>
      </c>
      <c r="J4" t="s">
        <v>70</v>
      </c>
      <c r="K4" s="17" t="s">
        <v>68</v>
      </c>
      <c r="L4" s="17" t="s">
        <v>70</v>
      </c>
      <c r="M4" s="17" t="s">
        <v>281</v>
      </c>
      <c r="N4" t="s">
        <v>68</v>
      </c>
      <c r="O4" t="s">
        <v>70</v>
      </c>
      <c r="P4" t="s">
        <v>68</v>
      </c>
      <c r="Q4" t="s">
        <v>70</v>
      </c>
      <c r="R4" t="s">
        <v>68</v>
      </c>
      <c r="S4" t="s">
        <v>70</v>
      </c>
      <c r="T4" t="s">
        <v>68</v>
      </c>
      <c r="U4" t="s">
        <v>70</v>
      </c>
      <c r="V4" t="s">
        <v>68</v>
      </c>
      <c r="W4" t="s">
        <v>70</v>
      </c>
      <c r="X4" t="s">
        <v>68</v>
      </c>
      <c r="Y4" t="s">
        <v>70</v>
      </c>
      <c r="Z4" t="s">
        <v>68</v>
      </c>
      <c r="AA4" t="s">
        <v>70</v>
      </c>
      <c r="AB4" s="17" t="s">
        <v>68</v>
      </c>
      <c r="AC4" s="17" t="s">
        <v>70</v>
      </c>
      <c r="AD4" s="17" t="s">
        <v>281</v>
      </c>
      <c r="AE4" t="s">
        <v>68</v>
      </c>
      <c r="AF4" t="s">
        <v>70</v>
      </c>
      <c r="AG4" t="s">
        <v>68</v>
      </c>
      <c r="AH4" t="s">
        <v>70</v>
      </c>
      <c r="AI4" t="s">
        <v>68</v>
      </c>
      <c r="AJ4" t="s">
        <v>70</v>
      </c>
      <c r="AK4" t="s">
        <v>68</v>
      </c>
      <c r="AL4" t="s">
        <v>70</v>
      </c>
      <c r="AM4" s="17" t="s">
        <v>68</v>
      </c>
      <c r="AN4" s="17" t="s">
        <v>70</v>
      </c>
      <c r="AO4" s="17" t="s">
        <v>281</v>
      </c>
      <c r="AP4" t="s">
        <v>68</v>
      </c>
      <c r="AQ4" t="s">
        <v>70</v>
      </c>
      <c r="AR4" t="s">
        <v>68</v>
      </c>
      <c r="AS4" t="s">
        <v>70</v>
      </c>
      <c r="AT4" t="s">
        <v>68</v>
      </c>
      <c r="AU4" t="s">
        <v>70</v>
      </c>
      <c r="AV4" t="s">
        <v>68</v>
      </c>
      <c r="AW4" t="s">
        <v>70</v>
      </c>
      <c r="AX4" t="s">
        <v>68</v>
      </c>
      <c r="AY4" t="s">
        <v>70</v>
      </c>
      <c r="AZ4" t="s">
        <v>68</v>
      </c>
      <c r="BA4" t="s">
        <v>70</v>
      </c>
      <c r="BB4" t="s">
        <v>68</v>
      </c>
      <c r="BC4" t="s">
        <v>70</v>
      </c>
      <c r="BD4" s="17" t="s">
        <v>68</v>
      </c>
      <c r="BE4" s="17" t="s">
        <v>70</v>
      </c>
      <c r="BF4" s="17" t="s">
        <v>281</v>
      </c>
      <c r="BG4" t="s">
        <v>68</v>
      </c>
      <c r="BH4" t="s">
        <v>70</v>
      </c>
      <c r="BI4" t="s">
        <v>68</v>
      </c>
      <c r="BJ4" t="s">
        <v>70</v>
      </c>
      <c r="BK4" t="s">
        <v>68</v>
      </c>
      <c r="BL4" t="s">
        <v>70</v>
      </c>
      <c r="BN4" t="s">
        <v>68</v>
      </c>
      <c r="BO4" t="s">
        <v>70</v>
      </c>
      <c r="BP4" t="s">
        <v>68</v>
      </c>
      <c r="BQ4" t="s">
        <v>70</v>
      </c>
      <c r="BR4" t="s">
        <v>68</v>
      </c>
      <c r="BS4" t="s">
        <v>70</v>
      </c>
      <c r="BT4" t="s">
        <v>68</v>
      </c>
      <c r="BU4" t="s">
        <v>70</v>
      </c>
      <c r="BV4" t="s">
        <v>68</v>
      </c>
      <c r="BW4" t="s">
        <v>70</v>
      </c>
      <c r="BX4" t="s">
        <v>68</v>
      </c>
      <c r="BY4" t="s">
        <v>70</v>
      </c>
      <c r="BZ4" t="s">
        <v>68</v>
      </c>
      <c r="CA4" t="s">
        <v>70</v>
      </c>
      <c r="CB4" t="s">
        <v>68</v>
      </c>
      <c r="CC4" t="s">
        <v>70</v>
      </c>
      <c r="CD4" t="s">
        <v>68</v>
      </c>
      <c r="CE4" t="s">
        <v>70</v>
      </c>
      <c r="CF4" t="s">
        <v>68</v>
      </c>
      <c r="CG4" t="s">
        <v>70</v>
      </c>
      <c r="CH4" t="s">
        <v>68</v>
      </c>
      <c r="CI4" t="s">
        <v>70</v>
      </c>
      <c r="CJ4" t="s">
        <v>68</v>
      </c>
      <c r="CK4" t="s">
        <v>70</v>
      </c>
      <c r="CL4" t="s">
        <v>68</v>
      </c>
      <c r="CM4" t="s">
        <v>70</v>
      </c>
      <c r="CP4" t="s">
        <v>68</v>
      </c>
      <c r="CQ4" t="s">
        <v>70</v>
      </c>
      <c r="CR4" t="s">
        <v>68</v>
      </c>
      <c r="CS4" t="s">
        <v>70</v>
      </c>
      <c r="CU4" t="s">
        <v>68</v>
      </c>
      <c r="CV4" t="s">
        <v>70</v>
      </c>
      <c r="CW4" t="s">
        <v>68</v>
      </c>
      <c r="CX4" t="s">
        <v>70</v>
      </c>
      <c r="CY4" t="s">
        <v>68</v>
      </c>
      <c r="CZ4" t="s">
        <v>70</v>
      </c>
      <c r="DA4" t="s">
        <v>68</v>
      </c>
      <c r="DB4" t="s">
        <v>70</v>
      </c>
      <c r="DC4" t="s">
        <v>68</v>
      </c>
      <c r="DD4" t="s">
        <v>70</v>
      </c>
      <c r="DE4" t="s">
        <v>68</v>
      </c>
      <c r="DF4" t="s">
        <v>70</v>
      </c>
      <c r="DG4" t="s">
        <v>68</v>
      </c>
      <c r="DH4" t="s">
        <v>70</v>
      </c>
      <c r="DI4" s="17" t="s">
        <v>68</v>
      </c>
      <c r="DJ4" s="17" t="s">
        <v>70</v>
      </c>
      <c r="DK4" s="17" t="s">
        <v>281</v>
      </c>
      <c r="DL4" t="s">
        <v>68</v>
      </c>
      <c r="DM4" t="s">
        <v>70</v>
      </c>
      <c r="DO4" t="s">
        <v>68</v>
      </c>
      <c r="DP4" t="s">
        <v>70</v>
      </c>
      <c r="DQ4" t="s">
        <v>68</v>
      </c>
      <c r="DR4" t="s">
        <v>70</v>
      </c>
      <c r="DS4" t="s">
        <v>68</v>
      </c>
      <c r="DT4" t="s">
        <v>70</v>
      </c>
      <c r="DV4" t="s">
        <v>68</v>
      </c>
      <c r="DW4" t="s">
        <v>70</v>
      </c>
      <c r="DX4" t="s">
        <v>68</v>
      </c>
      <c r="DY4" t="s">
        <v>70</v>
      </c>
      <c r="DZ4" t="s">
        <v>68</v>
      </c>
      <c r="EA4" t="s">
        <v>70</v>
      </c>
      <c r="EB4" t="s">
        <v>68</v>
      </c>
      <c r="EC4" t="s">
        <v>70</v>
      </c>
      <c r="EE4" t="s">
        <v>68</v>
      </c>
      <c r="EF4" t="s">
        <v>70</v>
      </c>
      <c r="EG4" t="s">
        <v>68</v>
      </c>
      <c r="EH4" t="s">
        <v>70</v>
      </c>
      <c r="EI4" t="s">
        <v>68</v>
      </c>
      <c r="EJ4" t="s">
        <v>70</v>
      </c>
      <c r="EK4" t="s">
        <v>68</v>
      </c>
      <c r="EL4" t="s">
        <v>70</v>
      </c>
      <c r="EN4" t="s">
        <v>68</v>
      </c>
      <c r="EO4" t="s">
        <v>70</v>
      </c>
      <c r="EP4" t="s">
        <v>68</v>
      </c>
      <c r="EQ4" t="s">
        <v>70</v>
      </c>
      <c r="ER4" t="s">
        <v>68</v>
      </c>
      <c r="ES4" t="s">
        <v>70</v>
      </c>
      <c r="ET4" t="s">
        <v>68</v>
      </c>
      <c r="EU4" t="s">
        <v>70</v>
      </c>
      <c r="EV4" t="s">
        <v>68</v>
      </c>
      <c r="EW4" t="s">
        <v>70</v>
      </c>
      <c r="EY4" t="s">
        <v>68</v>
      </c>
      <c r="EZ4" t="s">
        <v>70</v>
      </c>
      <c r="FA4" t="s">
        <v>68</v>
      </c>
      <c r="FB4" t="s">
        <v>70</v>
      </c>
      <c r="FC4" t="s">
        <v>68</v>
      </c>
      <c r="FD4" t="s">
        <v>70</v>
      </c>
      <c r="FE4" t="s">
        <v>68</v>
      </c>
      <c r="FF4" t="s">
        <v>70</v>
      </c>
      <c r="FG4" t="s">
        <v>68</v>
      </c>
      <c r="FH4" t="s">
        <v>70</v>
      </c>
      <c r="FI4" t="s">
        <v>68</v>
      </c>
      <c r="FJ4" t="s">
        <v>70</v>
      </c>
      <c r="FK4" t="s">
        <v>68</v>
      </c>
      <c r="FL4" t="s">
        <v>70</v>
      </c>
      <c r="FM4" t="s">
        <v>68</v>
      </c>
      <c r="FN4" t="s">
        <v>70</v>
      </c>
      <c r="FO4" s="17" t="s">
        <v>68</v>
      </c>
      <c r="FP4" s="17" t="s">
        <v>70</v>
      </c>
      <c r="FQ4" s="17" t="s">
        <v>281</v>
      </c>
      <c r="FR4" t="s">
        <v>68</v>
      </c>
      <c r="FS4" t="s">
        <v>70</v>
      </c>
      <c r="FT4" t="s">
        <v>68</v>
      </c>
      <c r="FU4" t="s">
        <v>70</v>
      </c>
      <c r="FV4" t="s">
        <v>68</v>
      </c>
      <c r="FW4" t="s">
        <v>70</v>
      </c>
      <c r="FX4" t="s">
        <v>68</v>
      </c>
      <c r="FY4" t="s">
        <v>70</v>
      </c>
      <c r="FZ4" t="s">
        <v>68</v>
      </c>
      <c r="GA4" t="s">
        <v>70</v>
      </c>
      <c r="GB4" t="s">
        <v>68</v>
      </c>
      <c r="GC4" t="s">
        <v>70</v>
      </c>
      <c r="GD4" t="s">
        <v>68</v>
      </c>
      <c r="GE4" t="s">
        <v>70</v>
      </c>
      <c r="GF4" t="s">
        <v>68</v>
      </c>
      <c r="GG4" t="s">
        <v>70</v>
      </c>
      <c r="GH4" t="s">
        <v>68</v>
      </c>
      <c r="GI4" t="s">
        <v>70</v>
      </c>
      <c r="GJ4" t="s">
        <v>68</v>
      </c>
      <c r="GK4" t="s">
        <v>70</v>
      </c>
      <c r="GL4" t="s">
        <v>68</v>
      </c>
      <c r="GM4" t="s">
        <v>70</v>
      </c>
      <c r="GN4" t="s">
        <v>68</v>
      </c>
      <c r="GO4" t="s">
        <v>70</v>
      </c>
      <c r="GP4" t="s">
        <v>68</v>
      </c>
      <c r="GQ4" t="s">
        <v>70</v>
      </c>
      <c r="GR4" t="s">
        <v>68</v>
      </c>
      <c r="GS4" t="s">
        <v>70</v>
      </c>
      <c r="GT4" t="s">
        <v>68</v>
      </c>
      <c r="GU4" t="s">
        <v>70</v>
      </c>
      <c r="GV4" t="s">
        <v>68</v>
      </c>
      <c r="GW4" t="s">
        <v>70</v>
      </c>
      <c r="GX4" t="s">
        <v>68</v>
      </c>
      <c r="GY4" t="s">
        <v>70</v>
      </c>
      <c r="GZ4" t="s">
        <v>68</v>
      </c>
      <c r="HA4" t="s">
        <v>70</v>
      </c>
      <c r="HB4" t="s">
        <v>68</v>
      </c>
      <c r="HC4" t="s">
        <v>70</v>
      </c>
    </row>
    <row r="5" spans="2:173" ht="15.75">
      <c r="B5" t="s">
        <v>4</v>
      </c>
      <c r="C5">
        <v>940</v>
      </c>
      <c r="D5">
        <v>45970</v>
      </c>
      <c r="E5">
        <v>4991</v>
      </c>
      <c r="F5">
        <v>56923</v>
      </c>
      <c r="G5">
        <v>14921</v>
      </c>
      <c r="H5">
        <v>78245</v>
      </c>
      <c r="K5" s="17">
        <v>20852</v>
      </c>
      <c r="L5" s="17">
        <v>181138</v>
      </c>
      <c r="M5" s="17">
        <v>8.686840590830617</v>
      </c>
      <c r="N5">
        <v>54550</v>
      </c>
      <c r="O5">
        <v>504387</v>
      </c>
      <c r="T5">
        <v>1831</v>
      </c>
      <c r="U5">
        <v>26820</v>
      </c>
      <c r="V5">
        <v>2198</v>
      </c>
      <c r="W5">
        <v>51564</v>
      </c>
      <c r="X5">
        <v>5297</v>
      </c>
      <c r="Y5">
        <v>83510</v>
      </c>
      <c r="AB5" s="17">
        <v>63876</v>
      </c>
      <c r="AC5" s="17">
        <v>666281</v>
      </c>
      <c r="AD5" s="17">
        <v>10.430850397645438</v>
      </c>
      <c r="AE5">
        <v>12931</v>
      </c>
      <c r="AF5">
        <v>124469</v>
      </c>
      <c r="AI5">
        <v>885</v>
      </c>
      <c r="AJ5">
        <v>37175</v>
      </c>
      <c r="AK5">
        <v>4366</v>
      </c>
      <c r="AL5">
        <v>44578</v>
      </c>
      <c r="AM5" s="17">
        <v>18182</v>
      </c>
      <c r="AN5" s="17">
        <v>206222</v>
      </c>
      <c r="AO5" s="17">
        <v>11.34209657903421</v>
      </c>
      <c r="AP5">
        <v>4204</v>
      </c>
      <c r="AQ5">
        <v>137148</v>
      </c>
      <c r="AT5">
        <v>5534</v>
      </c>
      <c r="AU5">
        <v>162414</v>
      </c>
      <c r="AZ5">
        <v>167</v>
      </c>
      <c r="BA5">
        <v>10676</v>
      </c>
      <c r="BB5">
        <v>2250</v>
      </c>
      <c r="BC5">
        <v>26909</v>
      </c>
      <c r="BD5" s="17">
        <v>12155</v>
      </c>
      <c r="BE5" s="17">
        <v>337147</v>
      </c>
      <c r="BF5" s="17">
        <v>27.737309749074456</v>
      </c>
      <c r="BK5">
        <v>5578</v>
      </c>
      <c r="BL5">
        <v>55987</v>
      </c>
      <c r="CR5">
        <v>80564</v>
      </c>
      <c r="CS5">
        <v>1351313</v>
      </c>
      <c r="DG5">
        <v>9813</v>
      </c>
      <c r="DH5">
        <v>525178</v>
      </c>
      <c r="DI5" s="17">
        <v>86142</v>
      </c>
      <c r="DJ5" s="17">
        <v>1407300</v>
      </c>
      <c r="DK5" s="17">
        <v>16.336978477397786</v>
      </c>
      <c r="DL5">
        <v>1776</v>
      </c>
      <c r="DM5">
        <v>56613</v>
      </c>
      <c r="DS5">
        <v>5999</v>
      </c>
      <c r="DT5">
        <v>150690</v>
      </c>
      <c r="EB5">
        <v>29843</v>
      </c>
      <c r="EC5">
        <v>252986</v>
      </c>
      <c r="EK5">
        <v>7252</v>
      </c>
      <c r="EL5">
        <v>278837</v>
      </c>
      <c r="EV5">
        <v>4871</v>
      </c>
      <c r="EW5">
        <v>61120</v>
      </c>
      <c r="FM5">
        <v>65226</v>
      </c>
      <c r="FN5">
        <v>361578</v>
      </c>
      <c r="FO5" s="17">
        <v>114967</v>
      </c>
      <c r="FP5" s="17">
        <v>1161824</v>
      </c>
      <c r="FQ5" s="17">
        <v>10.105717292788365</v>
      </c>
    </row>
    <row r="6" spans="1:173" ht="15.75">
      <c r="A6" s="17" t="s">
        <v>282</v>
      </c>
      <c r="B6" t="s">
        <v>6</v>
      </c>
      <c r="C6">
        <v>206</v>
      </c>
      <c r="D6">
        <v>21894</v>
      </c>
      <c r="E6">
        <v>1321</v>
      </c>
      <c r="F6">
        <v>27967</v>
      </c>
      <c r="G6">
        <v>1203</v>
      </c>
      <c r="H6">
        <v>13064</v>
      </c>
      <c r="K6" s="17">
        <v>2730</v>
      </c>
      <c r="L6" s="17">
        <v>62925</v>
      </c>
      <c r="M6" s="17">
        <v>23.04945054945055</v>
      </c>
      <c r="N6">
        <v>5059</v>
      </c>
      <c r="O6">
        <v>92494</v>
      </c>
      <c r="T6">
        <v>128</v>
      </c>
      <c r="U6">
        <v>4204</v>
      </c>
      <c r="V6">
        <v>690</v>
      </c>
      <c r="W6">
        <v>26141</v>
      </c>
      <c r="X6">
        <v>1186</v>
      </c>
      <c r="Y6">
        <v>47260</v>
      </c>
      <c r="AB6" s="17">
        <v>7063</v>
      </c>
      <c r="AC6" s="17">
        <v>170099</v>
      </c>
      <c r="AD6" s="17">
        <v>24.08310916041342</v>
      </c>
      <c r="AE6">
        <v>1009</v>
      </c>
      <c r="AF6">
        <v>31108</v>
      </c>
      <c r="AI6">
        <v>86</v>
      </c>
      <c r="AJ6">
        <v>3471</v>
      </c>
      <c r="AK6">
        <v>569</v>
      </c>
      <c r="AL6">
        <v>11734</v>
      </c>
      <c r="AM6" s="17">
        <v>1664</v>
      </c>
      <c r="AN6" s="17">
        <v>46313</v>
      </c>
      <c r="AO6" s="17">
        <v>27.83233173076923</v>
      </c>
      <c r="AP6">
        <v>618</v>
      </c>
      <c r="AQ6">
        <v>27579</v>
      </c>
      <c r="AT6">
        <v>364</v>
      </c>
      <c r="AU6">
        <v>76659</v>
      </c>
      <c r="AZ6">
        <v>76</v>
      </c>
      <c r="BA6">
        <v>2292</v>
      </c>
      <c r="BB6">
        <v>459</v>
      </c>
      <c r="BC6">
        <v>11139</v>
      </c>
      <c r="BD6" s="17">
        <v>1517</v>
      </c>
      <c r="BE6" s="17">
        <v>117669</v>
      </c>
      <c r="BF6" s="17">
        <v>77.56690837178643</v>
      </c>
      <c r="BK6">
        <v>716</v>
      </c>
      <c r="BL6">
        <v>21617</v>
      </c>
      <c r="CR6">
        <v>5524</v>
      </c>
      <c r="CS6">
        <v>234693</v>
      </c>
      <c r="DG6">
        <v>607</v>
      </c>
      <c r="DH6">
        <v>91740</v>
      </c>
      <c r="DI6" s="17">
        <v>6240</v>
      </c>
      <c r="DJ6" s="17">
        <v>256310</v>
      </c>
      <c r="DK6" s="17">
        <v>41.07532051282051</v>
      </c>
      <c r="DL6">
        <v>320</v>
      </c>
      <c r="DM6">
        <v>25882</v>
      </c>
      <c r="DS6">
        <v>142</v>
      </c>
      <c r="DT6">
        <v>4651</v>
      </c>
      <c r="EB6">
        <v>2426</v>
      </c>
      <c r="EC6">
        <v>44812</v>
      </c>
      <c r="EK6">
        <v>931</v>
      </c>
      <c r="EL6">
        <v>102243</v>
      </c>
      <c r="EV6">
        <v>1155</v>
      </c>
      <c r="EW6">
        <v>30384</v>
      </c>
      <c r="FM6">
        <v>9682</v>
      </c>
      <c r="FN6">
        <v>114827</v>
      </c>
      <c r="FO6" s="17">
        <v>14656</v>
      </c>
      <c r="FP6" s="17">
        <v>322799</v>
      </c>
      <c r="FQ6" s="17">
        <v>22.025040938864628</v>
      </c>
    </row>
    <row r="7" spans="1:173" ht="15.75">
      <c r="A7" s="17" t="s">
        <v>283</v>
      </c>
      <c r="B7" t="s">
        <v>7</v>
      </c>
      <c r="C7">
        <v>45</v>
      </c>
      <c r="D7">
        <v>384</v>
      </c>
      <c r="E7">
        <v>307</v>
      </c>
      <c r="F7">
        <v>1933</v>
      </c>
      <c r="G7">
        <v>825</v>
      </c>
      <c r="H7">
        <v>4845</v>
      </c>
      <c r="K7" s="17">
        <v>1177</v>
      </c>
      <c r="L7" s="17">
        <v>7162</v>
      </c>
      <c r="M7" s="17">
        <v>6.084961767204758</v>
      </c>
      <c r="N7">
        <v>2884</v>
      </c>
      <c r="O7">
        <v>36910</v>
      </c>
      <c r="T7">
        <v>111</v>
      </c>
      <c r="U7">
        <v>1298</v>
      </c>
      <c r="V7">
        <v>78</v>
      </c>
      <c r="W7">
        <v>937</v>
      </c>
      <c r="X7">
        <v>182</v>
      </c>
      <c r="Y7">
        <v>2932</v>
      </c>
      <c r="AB7" s="17">
        <v>3255</v>
      </c>
      <c r="AC7" s="17">
        <v>42077</v>
      </c>
      <c r="AD7" s="17">
        <v>12.926881720430108</v>
      </c>
      <c r="AE7">
        <v>423</v>
      </c>
      <c r="AF7">
        <v>3292</v>
      </c>
      <c r="AI7">
        <v>2</v>
      </c>
      <c r="AJ7">
        <v>311</v>
      </c>
      <c r="AK7">
        <v>315</v>
      </c>
      <c r="AL7">
        <v>3133</v>
      </c>
      <c r="AM7" s="17">
        <v>740</v>
      </c>
      <c r="AN7" s="17">
        <v>6736</v>
      </c>
      <c r="AO7" s="17">
        <v>9.102702702702702</v>
      </c>
      <c r="AP7">
        <v>308</v>
      </c>
      <c r="AQ7">
        <v>4447</v>
      </c>
      <c r="AT7">
        <v>369</v>
      </c>
      <c r="AU7">
        <v>3420</v>
      </c>
      <c r="AZ7">
        <v>3</v>
      </c>
      <c r="BA7">
        <v>159</v>
      </c>
      <c r="BB7">
        <v>135</v>
      </c>
      <c r="BC7">
        <v>1446</v>
      </c>
      <c r="BD7" s="17">
        <v>815</v>
      </c>
      <c r="BE7" s="17">
        <v>9472</v>
      </c>
      <c r="BF7" s="17">
        <v>11.622085889570553</v>
      </c>
      <c r="BK7">
        <v>42</v>
      </c>
      <c r="BL7">
        <v>436</v>
      </c>
      <c r="CR7">
        <v>4137</v>
      </c>
      <c r="CS7">
        <v>58861</v>
      </c>
      <c r="DG7">
        <v>443</v>
      </c>
      <c r="DH7">
        <v>21955</v>
      </c>
      <c r="DI7" s="17">
        <v>4179</v>
      </c>
      <c r="DJ7" s="17">
        <v>59297</v>
      </c>
      <c r="DK7" s="17">
        <v>14.1892797319933</v>
      </c>
      <c r="DL7">
        <v>6</v>
      </c>
      <c r="DM7">
        <v>175</v>
      </c>
      <c r="DS7">
        <v>64</v>
      </c>
      <c r="DT7">
        <v>1962</v>
      </c>
      <c r="EB7">
        <v>1881</v>
      </c>
      <c r="EC7">
        <v>9954</v>
      </c>
      <c r="EK7">
        <v>741</v>
      </c>
      <c r="EL7">
        <v>12373</v>
      </c>
      <c r="EV7">
        <v>151</v>
      </c>
      <c r="EW7">
        <v>1169</v>
      </c>
      <c r="FM7">
        <v>3047</v>
      </c>
      <c r="FN7">
        <v>13595</v>
      </c>
      <c r="FO7" s="17">
        <v>5890</v>
      </c>
      <c r="FP7" s="17">
        <v>39228</v>
      </c>
      <c r="FQ7" s="17">
        <v>6.660101867572156</v>
      </c>
    </row>
    <row r="8" spans="1:173" ht="15.75">
      <c r="A8" s="17" t="s">
        <v>284</v>
      </c>
      <c r="B8" t="s">
        <v>8</v>
      </c>
      <c r="C8">
        <v>18</v>
      </c>
      <c r="D8">
        <v>71</v>
      </c>
      <c r="E8">
        <v>86</v>
      </c>
      <c r="F8">
        <v>655</v>
      </c>
      <c r="G8">
        <v>146</v>
      </c>
      <c r="H8">
        <v>756</v>
      </c>
      <c r="K8" s="17">
        <v>250</v>
      </c>
      <c r="L8" s="17">
        <v>1482</v>
      </c>
      <c r="M8" s="17">
        <v>5.928</v>
      </c>
      <c r="N8">
        <v>465</v>
      </c>
      <c r="O8">
        <v>5188</v>
      </c>
      <c r="T8">
        <v>30</v>
      </c>
      <c r="U8">
        <v>370</v>
      </c>
      <c r="V8">
        <v>21</v>
      </c>
      <c r="W8">
        <v>327</v>
      </c>
      <c r="X8">
        <v>55</v>
      </c>
      <c r="Y8">
        <v>535</v>
      </c>
      <c r="AB8" s="17">
        <v>571</v>
      </c>
      <c r="AC8" s="17">
        <v>6420</v>
      </c>
      <c r="AD8" s="17">
        <v>11.243432574430823</v>
      </c>
      <c r="AE8">
        <v>49</v>
      </c>
      <c r="AF8">
        <v>697</v>
      </c>
      <c r="AI8">
        <v>2</v>
      </c>
      <c r="AJ8">
        <v>157</v>
      </c>
      <c r="AK8">
        <v>121</v>
      </c>
      <c r="AL8">
        <v>811</v>
      </c>
      <c r="AM8" s="17">
        <v>172</v>
      </c>
      <c r="AN8" s="17">
        <v>1665</v>
      </c>
      <c r="AO8" s="17">
        <v>9.680232558139535</v>
      </c>
      <c r="AP8">
        <v>86</v>
      </c>
      <c r="AQ8">
        <v>1770</v>
      </c>
      <c r="AT8">
        <v>19</v>
      </c>
      <c r="AU8">
        <v>1247</v>
      </c>
      <c r="AZ8">
        <v>2</v>
      </c>
      <c r="BA8">
        <v>21</v>
      </c>
      <c r="BB8">
        <v>18</v>
      </c>
      <c r="BC8">
        <v>111</v>
      </c>
      <c r="BD8" s="17">
        <v>125</v>
      </c>
      <c r="BE8" s="17">
        <v>3149</v>
      </c>
      <c r="BF8" s="17">
        <v>25.192</v>
      </c>
      <c r="BK8">
        <v>44</v>
      </c>
      <c r="BL8">
        <v>430</v>
      </c>
      <c r="CR8">
        <v>830</v>
      </c>
      <c r="CS8">
        <v>10077</v>
      </c>
      <c r="DG8">
        <v>161</v>
      </c>
      <c r="DH8">
        <v>11492</v>
      </c>
      <c r="DI8" s="17">
        <v>874</v>
      </c>
      <c r="DJ8" s="17">
        <v>10507</v>
      </c>
      <c r="DK8" s="17">
        <v>12.021739130434783</v>
      </c>
      <c r="DS8">
        <v>30</v>
      </c>
      <c r="DT8">
        <v>233</v>
      </c>
      <c r="EB8">
        <v>409</v>
      </c>
      <c r="EC8">
        <v>1471</v>
      </c>
      <c r="EK8">
        <v>31</v>
      </c>
      <c r="EL8">
        <v>362</v>
      </c>
      <c r="EV8">
        <v>36</v>
      </c>
      <c r="EW8">
        <v>329</v>
      </c>
      <c r="FM8">
        <v>512</v>
      </c>
      <c r="FN8">
        <v>2458</v>
      </c>
      <c r="FO8" s="17">
        <v>1018</v>
      </c>
      <c r="FP8" s="17">
        <v>4853</v>
      </c>
      <c r="FQ8" s="17">
        <v>4.7671905697445975</v>
      </c>
    </row>
    <row r="9" spans="1:173" ht="15.75">
      <c r="A9" s="17" t="s">
        <v>285</v>
      </c>
      <c r="B9" t="s">
        <v>9</v>
      </c>
      <c r="C9">
        <v>35</v>
      </c>
      <c r="D9">
        <v>267</v>
      </c>
      <c r="E9">
        <v>306</v>
      </c>
      <c r="F9">
        <v>2449</v>
      </c>
      <c r="G9">
        <v>676</v>
      </c>
      <c r="H9">
        <v>3333</v>
      </c>
      <c r="K9" s="17">
        <v>1017</v>
      </c>
      <c r="L9" s="17">
        <v>6049</v>
      </c>
      <c r="M9" s="17">
        <v>5.947885939036381</v>
      </c>
      <c r="N9">
        <v>2711</v>
      </c>
      <c r="O9">
        <v>51499</v>
      </c>
      <c r="T9">
        <v>64</v>
      </c>
      <c r="U9">
        <v>878</v>
      </c>
      <c r="V9">
        <v>51</v>
      </c>
      <c r="W9">
        <v>1131</v>
      </c>
      <c r="X9">
        <v>149</v>
      </c>
      <c r="Y9">
        <v>2035</v>
      </c>
      <c r="AB9" s="17">
        <v>2975</v>
      </c>
      <c r="AC9" s="17">
        <v>55543</v>
      </c>
      <c r="AD9" s="17">
        <v>18.669915966386554</v>
      </c>
      <c r="AE9">
        <v>801</v>
      </c>
      <c r="AF9">
        <v>5841</v>
      </c>
      <c r="AI9">
        <v>15</v>
      </c>
      <c r="AJ9">
        <v>2183</v>
      </c>
      <c r="AK9">
        <v>108</v>
      </c>
      <c r="AL9">
        <v>1278</v>
      </c>
      <c r="AM9" s="17">
        <v>924</v>
      </c>
      <c r="AN9" s="17">
        <v>9302</v>
      </c>
      <c r="AO9" s="17">
        <v>10.067099567099566</v>
      </c>
      <c r="AP9">
        <v>363</v>
      </c>
      <c r="AQ9">
        <v>8197</v>
      </c>
      <c r="AT9">
        <v>122</v>
      </c>
      <c r="AU9">
        <v>2032</v>
      </c>
      <c r="AZ9">
        <v>11</v>
      </c>
      <c r="BA9">
        <v>209</v>
      </c>
      <c r="BB9">
        <v>67</v>
      </c>
      <c r="BC9">
        <v>546</v>
      </c>
      <c r="BD9" s="17">
        <v>563</v>
      </c>
      <c r="BE9" s="17">
        <v>10984</v>
      </c>
      <c r="BF9" s="17">
        <v>19.509769094138544</v>
      </c>
      <c r="BK9">
        <v>202</v>
      </c>
      <c r="BL9">
        <v>2604</v>
      </c>
      <c r="CR9">
        <v>4002</v>
      </c>
      <c r="CS9">
        <v>52096</v>
      </c>
      <c r="DG9">
        <v>276</v>
      </c>
      <c r="DH9">
        <v>11490</v>
      </c>
      <c r="DI9" s="17">
        <v>4204</v>
      </c>
      <c r="DJ9" s="17">
        <v>54700</v>
      </c>
      <c r="DK9" s="17">
        <v>13.011417697431018</v>
      </c>
      <c r="DL9">
        <v>1</v>
      </c>
      <c r="DM9">
        <v>21</v>
      </c>
      <c r="DS9">
        <v>120</v>
      </c>
      <c r="DT9">
        <v>1028</v>
      </c>
      <c r="EB9">
        <v>1270</v>
      </c>
      <c r="EC9">
        <v>5353</v>
      </c>
      <c r="EK9">
        <v>160</v>
      </c>
      <c r="EL9">
        <v>3007</v>
      </c>
      <c r="EV9">
        <v>95</v>
      </c>
      <c r="EW9">
        <v>979</v>
      </c>
      <c r="FM9">
        <v>2813</v>
      </c>
      <c r="FN9">
        <v>15715</v>
      </c>
      <c r="FO9" s="17">
        <v>4459</v>
      </c>
      <c r="FP9" s="17">
        <v>26103</v>
      </c>
      <c r="FQ9" s="17">
        <v>5.854003139717426</v>
      </c>
    </row>
    <row r="10" spans="1:173" ht="15.75">
      <c r="A10" s="17" t="s">
        <v>286</v>
      </c>
      <c r="B10" t="s">
        <v>10</v>
      </c>
      <c r="E10">
        <v>86</v>
      </c>
      <c r="F10">
        <v>471</v>
      </c>
      <c r="G10">
        <v>324</v>
      </c>
      <c r="H10">
        <v>1130</v>
      </c>
      <c r="K10" s="17">
        <v>410</v>
      </c>
      <c r="L10" s="17">
        <v>1601</v>
      </c>
      <c r="M10" s="17">
        <v>3.9048780487804877</v>
      </c>
      <c r="N10">
        <v>1338</v>
      </c>
      <c r="O10">
        <v>29637</v>
      </c>
      <c r="T10">
        <v>39</v>
      </c>
      <c r="U10">
        <v>721</v>
      </c>
      <c r="V10">
        <v>12</v>
      </c>
      <c r="W10">
        <v>227</v>
      </c>
      <c r="X10">
        <v>50</v>
      </c>
      <c r="Y10">
        <v>447</v>
      </c>
      <c r="AB10" s="17">
        <v>1439</v>
      </c>
      <c r="AC10" s="17">
        <v>31032</v>
      </c>
      <c r="AD10" s="17">
        <v>21.564975677553857</v>
      </c>
      <c r="AE10">
        <v>186</v>
      </c>
      <c r="AF10">
        <v>1171</v>
      </c>
      <c r="AI10">
        <v>2</v>
      </c>
      <c r="AJ10">
        <v>140</v>
      </c>
      <c r="AK10">
        <v>12</v>
      </c>
      <c r="AL10">
        <v>261</v>
      </c>
      <c r="AM10" s="17">
        <v>200</v>
      </c>
      <c r="AN10" s="17">
        <v>1572</v>
      </c>
      <c r="AO10" s="17">
        <v>7.86</v>
      </c>
      <c r="AP10">
        <v>79</v>
      </c>
      <c r="AQ10">
        <v>2617</v>
      </c>
      <c r="AT10">
        <v>36</v>
      </c>
      <c r="AU10">
        <v>695</v>
      </c>
      <c r="AZ10">
        <v>4</v>
      </c>
      <c r="BA10">
        <v>2641</v>
      </c>
      <c r="BB10">
        <v>20</v>
      </c>
      <c r="BC10">
        <v>83</v>
      </c>
      <c r="BD10" s="17">
        <v>139</v>
      </c>
      <c r="BE10" s="17">
        <v>6036</v>
      </c>
      <c r="BF10" s="17">
        <v>43.42446043165467</v>
      </c>
      <c r="BK10">
        <v>27</v>
      </c>
      <c r="BL10">
        <v>252</v>
      </c>
      <c r="CR10">
        <v>1484</v>
      </c>
      <c r="CS10">
        <v>15501</v>
      </c>
      <c r="DG10">
        <v>295</v>
      </c>
      <c r="DH10">
        <v>6796</v>
      </c>
      <c r="DI10" s="17">
        <v>1511</v>
      </c>
      <c r="DJ10" s="17">
        <v>15753</v>
      </c>
      <c r="DK10" s="17">
        <v>10.42554599602912</v>
      </c>
      <c r="DS10">
        <v>15</v>
      </c>
      <c r="DT10">
        <v>1365</v>
      </c>
      <c r="EB10">
        <v>630</v>
      </c>
      <c r="EC10">
        <v>2001</v>
      </c>
      <c r="EK10">
        <v>59</v>
      </c>
      <c r="EL10">
        <v>823</v>
      </c>
      <c r="EV10">
        <v>21</v>
      </c>
      <c r="EW10">
        <v>148</v>
      </c>
      <c r="FM10">
        <v>955</v>
      </c>
      <c r="FN10">
        <v>3715</v>
      </c>
      <c r="FO10" s="17">
        <v>1680</v>
      </c>
      <c r="FP10" s="17">
        <v>8052</v>
      </c>
      <c r="FQ10" s="17">
        <v>4.792857142857143</v>
      </c>
    </row>
    <row r="11" spans="1:173" ht="15.75">
      <c r="A11" s="17" t="s">
        <v>287</v>
      </c>
      <c r="B11" t="s">
        <v>11</v>
      </c>
      <c r="C11">
        <v>5</v>
      </c>
      <c r="D11">
        <v>33</v>
      </c>
      <c r="E11">
        <v>26</v>
      </c>
      <c r="F11">
        <v>324</v>
      </c>
      <c r="G11">
        <v>102</v>
      </c>
      <c r="H11">
        <v>438</v>
      </c>
      <c r="K11" s="17">
        <v>133</v>
      </c>
      <c r="L11" s="17">
        <v>795</v>
      </c>
      <c r="M11" s="17">
        <v>5.977443609022556</v>
      </c>
      <c r="N11">
        <v>924</v>
      </c>
      <c r="O11">
        <v>10652</v>
      </c>
      <c r="T11">
        <v>11</v>
      </c>
      <c r="U11">
        <v>402</v>
      </c>
      <c r="V11">
        <v>9</v>
      </c>
      <c r="W11">
        <v>772</v>
      </c>
      <c r="X11">
        <v>40</v>
      </c>
      <c r="Y11">
        <v>526</v>
      </c>
      <c r="AB11" s="17">
        <v>984</v>
      </c>
      <c r="AC11" s="17">
        <v>12352</v>
      </c>
      <c r="AD11" s="17">
        <v>12.552845528455284</v>
      </c>
      <c r="AE11">
        <v>220</v>
      </c>
      <c r="AF11">
        <v>1757</v>
      </c>
      <c r="AI11">
        <v>2</v>
      </c>
      <c r="AJ11">
        <v>419</v>
      </c>
      <c r="AK11">
        <v>92</v>
      </c>
      <c r="AL11">
        <v>488</v>
      </c>
      <c r="AM11" s="17">
        <v>314</v>
      </c>
      <c r="AN11" s="17">
        <v>2664</v>
      </c>
      <c r="AO11" s="17">
        <v>8.48407643312102</v>
      </c>
      <c r="AP11">
        <v>122</v>
      </c>
      <c r="AQ11">
        <v>1127</v>
      </c>
      <c r="AT11">
        <v>44</v>
      </c>
      <c r="AU11">
        <v>948</v>
      </c>
      <c r="AZ11">
        <v>1</v>
      </c>
      <c r="BA11">
        <v>1372</v>
      </c>
      <c r="BB11">
        <v>11</v>
      </c>
      <c r="BC11">
        <v>103</v>
      </c>
      <c r="BD11" s="17">
        <v>178</v>
      </c>
      <c r="BE11" s="17">
        <v>3550</v>
      </c>
      <c r="BF11" s="17">
        <v>19.9438202247191</v>
      </c>
      <c r="BK11">
        <v>233</v>
      </c>
      <c r="BL11">
        <v>1370</v>
      </c>
      <c r="CR11">
        <v>2203</v>
      </c>
      <c r="CS11">
        <v>19648</v>
      </c>
      <c r="DG11">
        <v>171</v>
      </c>
      <c r="DH11">
        <v>5170</v>
      </c>
      <c r="DI11" s="17">
        <v>2436</v>
      </c>
      <c r="DJ11" s="17">
        <v>21018</v>
      </c>
      <c r="DK11" s="17">
        <v>8.62807881773399</v>
      </c>
      <c r="DS11">
        <v>46</v>
      </c>
      <c r="DT11">
        <v>519</v>
      </c>
      <c r="EB11">
        <v>77</v>
      </c>
      <c r="EC11">
        <v>305</v>
      </c>
      <c r="EK11">
        <v>46</v>
      </c>
      <c r="EL11">
        <v>1515</v>
      </c>
      <c r="EV11">
        <v>11</v>
      </c>
      <c r="EW11">
        <v>147</v>
      </c>
      <c r="FM11">
        <v>395</v>
      </c>
      <c r="FN11">
        <v>2064</v>
      </c>
      <c r="FO11" s="17">
        <v>575</v>
      </c>
      <c r="FP11" s="17">
        <v>4550</v>
      </c>
      <c r="FQ11" s="17">
        <v>7.913043478260869</v>
      </c>
    </row>
    <row r="12" spans="1:173" ht="15.75">
      <c r="A12" s="17" t="s">
        <v>288</v>
      </c>
      <c r="B12" t="s">
        <v>12</v>
      </c>
      <c r="C12">
        <v>2</v>
      </c>
      <c r="D12">
        <v>4161</v>
      </c>
      <c r="E12">
        <v>41</v>
      </c>
      <c r="F12">
        <v>830</v>
      </c>
      <c r="G12">
        <v>72</v>
      </c>
      <c r="H12">
        <v>7831</v>
      </c>
      <c r="K12" s="17">
        <v>115</v>
      </c>
      <c r="L12" s="17">
        <v>12822</v>
      </c>
      <c r="M12" s="17">
        <v>111.49565217391304</v>
      </c>
      <c r="N12">
        <v>388</v>
      </c>
      <c r="O12">
        <v>2902</v>
      </c>
      <c r="T12">
        <v>18</v>
      </c>
      <c r="U12">
        <v>473</v>
      </c>
      <c r="V12">
        <v>64</v>
      </c>
      <c r="W12">
        <v>1918</v>
      </c>
      <c r="X12">
        <v>75</v>
      </c>
      <c r="Y12">
        <v>1104</v>
      </c>
      <c r="AB12" s="17">
        <v>545</v>
      </c>
      <c r="AC12" s="17">
        <v>6397</v>
      </c>
      <c r="AD12" s="17">
        <v>11.737614678899083</v>
      </c>
      <c r="AE12">
        <v>32</v>
      </c>
      <c r="AF12">
        <v>272</v>
      </c>
      <c r="AK12">
        <v>45</v>
      </c>
      <c r="AL12">
        <v>1159</v>
      </c>
      <c r="AM12" s="17">
        <v>77</v>
      </c>
      <c r="AN12" s="17">
        <v>1431</v>
      </c>
      <c r="AO12" s="17">
        <v>18.584415584415584</v>
      </c>
      <c r="AP12">
        <v>83</v>
      </c>
      <c r="AQ12">
        <v>11157</v>
      </c>
      <c r="AT12">
        <v>164</v>
      </c>
      <c r="AU12">
        <v>7399</v>
      </c>
      <c r="BB12">
        <v>7</v>
      </c>
      <c r="BC12">
        <v>282</v>
      </c>
      <c r="BD12" s="17">
        <v>254</v>
      </c>
      <c r="BE12" s="17">
        <v>18838</v>
      </c>
      <c r="BF12" s="17">
        <v>74.16535433070867</v>
      </c>
      <c r="BK12">
        <v>4</v>
      </c>
      <c r="BL12">
        <v>23</v>
      </c>
      <c r="CR12">
        <v>738</v>
      </c>
      <c r="CS12">
        <v>22072</v>
      </c>
      <c r="DG12">
        <v>152</v>
      </c>
      <c r="DH12">
        <v>4953</v>
      </c>
      <c r="DI12" s="17">
        <v>742</v>
      </c>
      <c r="DJ12" s="17">
        <v>22095</v>
      </c>
      <c r="DK12" s="17">
        <v>29.777628032345014</v>
      </c>
      <c r="DL12">
        <v>18</v>
      </c>
      <c r="DM12">
        <v>3524</v>
      </c>
      <c r="DS12">
        <v>9</v>
      </c>
      <c r="DT12">
        <v>22</v>
      </c>
      <c r="EB12">
        <v>112</v>
      </c>
      <c r="EC12">
        <v>2154</v>
      </c>
      <c r="EK12">
        <v>24</v>
      </c>
      <c r="EL12">
        <v>2830</v>
      </c>
      <c r="EV12">
        <v>32</v>
      </c>
      <c r="EW12">
        <v>882</v>
      </c>
      <c r="FM12">
        <v>293</v>
      </c>
      <c r="FN12">
        <v>4057</v>
      </c>
      <c r="FO12" s="17">
        <v>488</v>
      </c>
      <c r="FP12" s="17">
        <v>13469</v>
      </c>
      <c r="FQ12" s="17">
        <v>27.600409836065573</v>
      </c>
    </row>
    <row r="13" spans="1:173" ht="15.75">
      <c r="A13" s="17" t="s">
        <v>289</v>
      </c>
      <c r="B13" t="s">
        <v>13</v>
      </c>
      <c r="C13">
        <v>12</v>
      </c>
      <c r="D13">
        <v>208</v>
      </c>
      <c r="E13">
        <v>200</v>
      </c>
      <c r="F13">
        <v>898</v>
      </c>
      <c r="G13">
        <v>303</v>
      </c>
      <c r="H13">
        <v>855</v>
      </c>
      <c r="K13" s="17">
        <v>515</v>
      </c>
      <c r="L13" s="17">
        <v>1961</v>
      </c>
      <c r="M13" s="17">
        <v>3.8077669902912623</v>
      </c>
      <c r="N13">
        <v>1993</v>
      </c>
      <c r="O13">
        <v>7479</v>
      </c>
      <c r="T13">
        <v>139</v>
      </c>
      <c r="U13">
        <v>885</v>
      </c>
      <c r="V13">
        <v>107</v>
      </c>
      <c r="W13">
        <v>1004</v>
      </c>
      <c r="X13">
        <v>195</v>
      </c>
      <c r="Y13">
        <v>2083</v>
      </c>
      <c r="AB13" s="17">
        <v>2434</v>
      </c>
      <c r="AC13" s="17">
        <v>11451</v>
      </c>
      <c r="AD13" s="17">
        <v>4.704601479046836</v>
      </c>
      <c r="AE13">
        <v>194</v>
      </c>
      <c r="AF13">
        <v>1261</v>
      </c>
      <c r="AI13">
        <v>5</v>
      </c>
      <c r="AJ13">
        <v>381</v>
      </c>
      <c r="AK13">
        <v>110</v>
      </c>
      <c r="AL13">
        <v>947</v>
      </c>
      <c r="AM13" s="17">
        <v>309</v>
      </c>
      <c r="AN13" s="17">
        <v>2589</v>
      </c>
      <c r="AO13" s="17">
        <v>8.37864077669903</v>
      </c>
      <c r="AP13">
        <v>99</v>
      </c>
      <c r="AQ13">
        <v>2749</v>
      </c>
      <c r="AT13">
        <v>132</v>
      </c>
      <c r="AU13">
        <v>2134</v>
      </c>
      <c r="AZ13">
        <v>1</v>
      </c>
      <c r="BA13">
        <v>79</v>
      </c>
      <c r="BB13">
        <v>38</v>
      </c>
      <c r="BC13">
        <v>277</v>
      </c>
      <c r="BD13" s="17">
        <v>270</v>
      </c>
      <c r="BE13" s="17">
        <v>5239</v>
      </c>
      <c r="BF13" s="17">
        <v>19.403703703703705</v>
      </c>
      <c r="BK13">
        <v>154</v>
      </c>
      <c r="BL13">
        <v>317</v>
      </c>
      <c r="CR13">
        <v>3406</v>
      </c>
      <c r="CS13">
        <v>16144</v>
      </c>
      <c r="DG13">
        <v>456</v>
      </c>
      <c r="DH13">
        <v>7604</v>
      </c>
      <c r="DI13" s="17">
        <v>3560</v>
      </c>
      <c r="DJ13" s="17">
        <v>16461</v>
      </c>
      <c r="DK13" s="17">
        <v>4.623876404494382</v>
      </c>
      <c r="DL13">
        <v>249</v>
      </c>
      <c r="DM13">
        <v>5930</v>
      </c>
      <c r="DS13">
        <v>44</v>
      </c>
      <c r="DT13">
        <v>673</v>
      </c>
      <c r="EB13">
        <v>1045</v>
      </c>
      <c r="EC13">
        <v>2415</v>
      </c>
      <c r="EK13">
        <v>274</v>
      </c>
      <c r="EL13">
        <v>27631</v>
      </c>
      <c r="EV13">
        <v>208</v>
      </c>
      <c r="EW13">
        <v>985</v>
      </c>
      <c r="FM13">
        <v>1245</v>
      </c>
      <c r="FN13">
        <v>3440</v>
      </c>
      <c r="FO13" s="17">
        <v>3065</v>
      </c>
      <c r="FP13" s="17">
        <v>41074</v>
      </c>
      <c r="FQ13" s="17">
        <v>13.400978792822187</v>
      </c>
    </row>
    <row r="14" spans="1:173" ht="15.75">
      <c r="A14" s="17" t="s">
        <v>290</v>
      </c>
      <c r="B14" t="s">
        <v>14</v>
      </c>
      <c r="C14">
        <v>273</v>
      </c>
      <c r="D14">
        <v>10939</v>
      </c>
      <c r="E14">
        <v>1053</v>
      </c>
      <c r="F14">
        <v>6761</v>
      </c>
      <c r="G14">
        <v>3684</v>
      </c>
      <c r="H14">
        <v>14682</v>
      </c>
      <c r="K14" s="17">
        <v>5010</v>
      </c>
      <c r="L14" s="17">
        <v>32382</v>
      </c>
      <c r="M14" s="17">
        <v>6.463473053892216</v>
      </c>
      <c r="N14">
        <v>12805</v>
      </c>
      <c r="O14">
        <v>87837</v>
      </c>
      <c r="T14">
        <v>187</v>
      </c>
      <c r="U14">
        <v>3105</v>
      </c>
      <c r="V14">
        <v>273</v>
      </c>
      <c r="W14">
        <v>5377</v>
      </c>
      <c r="X14">
        <v>1423</v>
      </c>
      <c r="Y14">
        <v>8828</v>
      </c>
      <c r="AB14" s="17">
        <v>14688</v>
      </c>
      <c r="AC14" s="17">
        <v>105147</v>
      </c>
      <c r="AD14" s="17">
        <v>7.158700980392157</v>
      </c>
      <c r="AE14">
        <v>3689</v>
      </c>
      <c r="AF14">
        <v>38390</v>
      </c>
      <c r="AI14">
        <v>603</v>
      </c>
      <c r="AJ14">
        <v>17897</v>
      </c>
      <c r="AK14">
        <v>1131</v>
      </c>
      <c r="AL14">
        <v>8718</v>
      </c>
      <c r="AM14" s="17">
        <v>5423</v>
      </c>
      <c r="AN14" s="17">
        <v>65005</v>
      </c>
      <c r="AO14" s="17">
        <v>11.98690761571086</v>
      </c>
      <c r="AP14">
        <v>443</v>
      </c>
      <c r="AQ14">
        <v>20408</v>
      </c>
      <c r="AT14">
        <v>1032</v>
      </c>
      <c r="AU14">
        <v>21073</v>
      </c>
      <c r="AZ14">
        <v>29</v>
      </c>
      <c r="BA14">
        <v>1863</v>
      </c>
      <c r="BB14">
        <v>638</v>
      </c>
      <c r="BC14">
        <v>4979</v>
      </c>
      <c r="BD14" s="17">
        <v>2142</v>
      </c>
      <c r="BE14" s="17">
        <v>48323</v>
      </c>
      <c r="BF14" s="17">
        <v>22.559757236227824</v>
      </c>
      <c r="BK14">
        <v>1193</v>
      </c>
      <c r="BL14">
        <v>6775</v>
      </c>
      <c r="CR14">
        <v>17228</v>
      </c>
      <c r="CS14">
        <v>349807</v>
      </c>
      <c r="DG14">
        <v>2282</v>
      </c>
      <c r="DH14">
        <v>185851</v>
      </c>
      <c r="DI14" s="17">
        <v>18421</v>
      </c>
      <c r="DJ14" s="17">
        <v>356582</v>
      </c>
      <c r="DK14" s="17">
        <v>19.357363878182507</v>
      </c>
      <c r="DL14">
        <v>21</v>
      </c>
      <c r="DM14">
        <v>566</v>
      </c>
      <c r="DS14">
        <v>1539</v>
      </c>
      <c r="DT14">
        <v>56590</v>
      </c>
      <c r="EB14">
        <v>4842</v>
      </c>
      <c r="EC14">
        <v>80824</v>
      </c>
      <c r="EK14">
        <v>2758</v>
      </c>
      <c r="EL14">
        <v>105064</v>
      </c>
      <c r="EV14">
        <v>1318</v>
      </c>
      <c r="EW14">
        <v>12062</v>
      </c>
      <c r="FM14">
        <v>16473</v>
      </c>
      <c r="FN14">
        <v>67654</v>
      </c>
      <c r="FO14" s="17">
        <v>26951</v>
      </c>
      <c r="FP14" s="17">
        <v>322760</v>
      </c>
      <c r="FQ14" s="17">
        <v>11.97580794775704</v>
      </c>
    </row>
    <row r="15" spans="1:173" ht="15.75">
      <c r="A15" s="17" t="s">
        <v>291</v>
      </c>
      <c r="B15" t="s">
        <v>15</v>
      </c>
      <c r="C15">
        <v>111</v>
      </c>
      <c r="D15">
        <v>2873</v>
      </c>
      <c r="E15">
        <v>312</v>
      </c>
      <c r="F15">
        <v>2805</v>
      </c>
      <c r="G15">
        <v>1424</v>
      </c>
      <c r="H15">
        <v>6549</v>
      </c>
      <c r="K15" s="17">
        <v>1847</v>
      </c>
      <c r="L15" s="17">
        <v>12227</v>
      </c>
      <c r="M15" s="17">
        <v>6.619924201407688</v>
      </c>
      <c r="N15">
        <v>5053</v>
      </c>
      <c r="O15">
        <v>66479</v>
      </c>
      <c r="T15">
        <v>71</v>
      </c>
      <c r="U15">
        <v>1243</v>
      </c>
      <c r="V15">
        <v>63</v>
      </c>
      <c r="W15">
        <v>1218</v>
      </c>
      <c r="X15">
        <v>277</v>
      </c>
      <c r="Y15">
        <v>3396</v>
      </c>
      <c r="AB15" s="17">
        <v>5464</v>
      </c>
      <c r="AC15" s="17">
        <v>72336</v>
      </c>
      <c r="AD15" s="17">
        <v>13.23865300146413</v>
      </c>
      <c r="AE15">
        <v>1298</v>
      </c>
      <c r="AF15">
        <v>11239</v>
      </c>
      <c r="AI15">
        <v>17</v>
      </c>
      <c r="AJ15">
        <v>3139</v>
      </c>
      <c r="AK15">
        <v>361</v>
      </c>
      <c r="AL15">
        <v>4229</v>
      </c>
      <c r="AM15" s="17">
        <v>1676</v>
      </c>
      <c r="AN15" s="17">
        <v>18607</v>
      </c>
      <c r="AO15" s="17">
        <v>11.102028639618139</v>
      </c>
      <c r="AP15">
        <v>237</v>
      </c>
      <c r="AQ15">
        <v>6712</v>
      </c>
      <c r="AT15">
        <v>458</v>
      </c>
      <c r="AU15">
        <v>6827</v>
      </c>
      <c r="AZ15">
        <v>3</v>
      </c>
      <c r="BA15">
        <v>171</v>
      </c>
      <c r="BB15">
        <v>320</v>
      </c>
      <c r="BC15">
        <v>2782</v>
      </c>
      <c r="BD15" s="17">
        <v>1018</v>
      </c>
      <c r="BE15" s="17">
        <v>16492</v>
      </c>
      <c r="BF15" s="17">
        <v>16.20039292730845</v>
      </c>
      <c r="BK15">
        <v>896</v>
      </c>
      <c r="BL15">
        <v>5665</v>
      </c>
      <c r="CR15">
        <v>5889</v>
      </c>
      <c r="CS15">
        <v>165613</v>
      </c>
      <c r="DG15">
        <v>1077</v>
      </c>
      <c r="DH15">
        <v>68975</v>
      </c>
      <c r="DI15" s="17">
        <v>6785</v>
      </c>
      <c r="DJ15" s="17">
        <v>171278</v>
      </c>
      <c r="DK15" s="17">
        <v>25.243625644804716</v>
      </c>
      <c r="DL15">
        <v>3</v>
      </c>
      <c r="DM15">
        <v>127</v>
      </c>
      <c r="DS15">
        <v>2169</v>
      </c>
      <c r="DT15">
        <v>57079</v>
      </c>
      <c r="EB15">
        <v>6095</v>
      </c>
      <c r="EC15">
        <v>53601</v>
      </c>
      <c r="EK15">
        <v>554</v>
      </c>
      <c r="EL15">
        <v>9004</v>
      </c>
      <c r="EV15">
        <v>413</v>
      </c>
      <c r="EW15">
        <v>4415</v>
      </c>
      <c r="FM15">
        <v>6715</v>
      </c>
      <c r="FN15">
        <v>29405</v>
      </c>
      <c r="FO15" s="17">
        <v>15949</v>
      </c>
      <c r="FP15" s="17">
        <v>153631</v>
      </c>
      <c r="FQ15" s="17">
        <v>9.632641544924446</v>
      </c>
    </row>
    <row r="16" spans="1:173" ht="15.75">
      <c r="A16" s="17" t="s">
        <v>292</v>
      </c>
      <c r="B16" t="s">
        <v>16</v>
      </c>
      <c r="C16">
        <v>42</v>
      </c>
      <c r="D16">
        <v>1674</v>
      </c>
      <c r="E16">
        <v>61</v>
      </c>
      <c r="F16">
        <v>326</v>
      </c>
      <c r="G16">
        <v>355</v>
      </c>
      <c r="H16">
        <v>1250</v>
      </c>
      <c r="K16" s="17">
        <v>458</v>
      </c>
      <c r="L16" s="17">
        <v>3250</v>
      </c>
      <c r="M16" s="17">
        <v>7.096069868995633</v>
      </c>
      <c r="N16">
        <v>1198</v>
      </c>
      <c r="O16">
        <v>10299</v>
      </c>
      <c r="T16">
        <v>16</v>
      </c>
      <c r="U16">
        <v>957</v>
      </c>
      <c r="V16">
        <v>16</v>
      </c>
      <c r="W16">
        <v>242</v>
      </c>
      <c r="X16">
        <v>67</v>
      </c>
      <c r="Y16">
        <v>809</v>
      </c>
      <c r="AB16" s="17">
        <v>1297</v>
      </c>
      <c r="AC16" s="17">
        <v>12307</v>
      </c>
      <c r="AD16" s="17">
        <v>9.488820354664611</v>
      </c>
      <c r="AE16">
        <v>231</v>
      </c>
      <c r="AF16">
        <v>1984</v>
      </c>
      <c r="AI16">
        <v>3</v>
      </c>
      <c r="AJ16">
        <v>126</v>
      </c>
      <c r="AK16">
        <v>169</v>
      </c>
      <c r="AL16">
        <v>2051</v>
      </c>
      <c r="AM16" s="17">
        <v>403</v>
      </c>
      <c r="AN16" s="17">
        <v>4161</v>
      </c>
      <c r="AO16" s="17">
        <v>10.325062034739455</v>
      </c>
      <c r="AP16">
        <v>77</v>
      </c>
      <c r="AQ16">
        <v>5080</v>
      </c>
      <c r="AT16">
        <v>61</v>
      </c>
      <c r="AU16">
        <v>993</v>
      </c>
      <c r="AZ16">
        <v>5</v>
      </c>
      <c r="BA16">
        <v>1064</v>
      </c>
      <c r="BB16">
        <v>80</v>
      </c>
      <c r="BC16">
        <v>376</v>
      </c>
      <c r="BD16" s="17">
        <v>223</v>
      </c>
      <c r="BE16" s="17">
        <v>7513</v>
      </c>
      <c r="BF16" s="17">
        <v>33.690582959641254</v>
      </c>
      <c r="BK16">
        <v>69</v>
      </c>
      <c r="BL16">
        <v>345</v>
      </c>
      <c r="CR16">
        <v>1691</v>
      </c>
      <c r="CS16">
        <v>43633</v>
      </c>
      <c r="DG16">
        <v>407</v>
      </c>
      <c r="DH16">
        <v>18520</v>
      </c>
      <c r="DI16" s="17">
        <v>1760</v>
      </c>
      <c r="DJ16" s="17">
        <v>43978</v>
      </c>
      <c r="DK16" s="17">
        <v>24.9875</v>
      </c>
      <c r="DL16">
        <v>1</v>
      </c>
      <c r="DM16">
        <v>196</v>
      </c>
      <c r="DS16">
        <v>624</v>
      </c>
      <c r="DT16">
        <v>14946</v>
      </c>
      <c r="EB16">
        <v>1260</v>
      </c>
      <c r="EC16">
        <v>17111</v>
      </c>
      <c r="EK16">
        <v>133</v>
      </c>
      <c r="EL16">
        <v>3046</v>
      </c>
      <c r="EV16">
        <v>169</v>
      </c>
      <c r="EW16">
        <v>1040</v>
      </c>
      <c r="FM16">
        <v>1090</v>
      </c>
      <c r="FN16">
        <v>4138</v>
      </c>
      <c r="FO16" s="17">
        <v>3277</v>
      </c>
      <c r="FP16" s="17">
        <v>40477</v>
      </c>
      <c r="FQ16" s="17">
        <v>12.351846200793409</v>
      </c>
    </row>
    <row r="17" spans="1:173" ht="15.75">
      <c r="A17" s="17" t="s">
        <v>293</v>
      </c>
      <c r="B17" t="s">
        <v>17</v>
      </c>
      <c r="C17">
        <v>9</v>
      </c>
      <c r="D17">
        <v>362</v>
      </c>
      <c r="E17">
        <v>203</v>
      </c>
      <c r="F17">
        <v>2200</v>
      </c>
      <c r="G17">
        <v>449</v>
      </c>
      <c r="H17">
        <v>2230</v>
      </c>
      <c r="K17" s="17">
        <v>661</v>
      </c>
      <c r="L17" s="17">
        <v>4792</v>
      </c>
      <c r="M17" s="17">
        <v>7.249621785173979</v>
      </c>
      <c r="N17">
        <v>2641</v>
      </c>
      <c r="O17">
        <v>13634</v>
      </c>
      <c r="T17">
        <v>145</v>
      </c>
      <c r="U17">
        <v>893</v>
      </c>
      <c r="V17">
        <v>142</v>
      </c>
      <c r="W17">
        <v>1112</v>
      </c>
      <c r="X17">
        <v>324</v>
      </c>
      <c r="Y17">
        <v>1958</v>
      </c>
      <c r="AB17" s="17">
        <v>3252</v>
      </c>
      <c r="AC17" s="17">
        <v>17597</v>
      </c>
      <c r="AD17" s="17">
        <v>5.411131611316113</v>
      </c>
      <c r="AE17">
        <v>967</v>
      </c>
      <c r="AF17">
        <v>5285</v>
      </c>
      <c r="AI17">
        <v>19</v>
      </c>
      <c r="AJ17">
        <v>534</v>
      </c>
      <c r="AK17">
        <v>81</v>
      </c>
      <c r="AL17">
        <v>882</v>
      </c>
      <c r="AM17" s="17">
        <v>1067</v>
      </c>
      <c r="AN17" s="17">
        <v>6701</v>
      </c>
      <c r="AO17" s="17">
        <v>6.280224929709465</v>
      </c>
      <c r="AP17">
        <v>170</v>
      </c>
      <c r="AQ17">
        <v>5967</v>
      </c>
      <c r="AT17">
        <v>619</v>
      </c>
      <c r="AU17">
        <v>8079</v>
      </c>
      <c r="AZ17">
        <v>10</v>
      </c>
      <c r="BA17">
        <v>42</v>
      </c>
      <c r="BB17">
        <v>198</v>
      </c>
      <c r="BC17">
        <v>1134</v>
      </c>
      <c r="BD17" s="17">
        <v>997</v>
      </c>
      <c r="BE17" s="17">
        <v>15222</v>
      </c>
      <c r="BF17" s="17">
        <v>15.267803410230693</v>
      </c>
      <c r="BK17">
        <v>828</v>
      </c>
      <c r="BL17">
        <v>3925</v>
      </c>
      <c r="CR17">
        <v>4204</v>
      </c>
      <c r="CS17">
        <v>40805</v>
      </c>
      <c r="DG17">
        <v>1011</v>
      </c>
      <c r="DH17">
        <v>33598</v>
      </c>
      <c r="DI17" s="17">
        <v>5032</v>
      </c>
      <c r="DJ17" s="17">
        <v>44730</v>
      </c>
      <c r="DK17" s="17">
        <v>8.889109697933227</v>
      </c>
      <c r="DS17">
        <v>191</v>
      </c>
      <c r="DT17">
        <v>3927</v>
      </c>
      <c r="EB17">
        <v>1046</v>
      </c>
      <c r="EC17">
        <v>4179</v>
      </c>
      <c r="EK17">
        <v>154</v>
      </c>
      <c r="EL17">
        <v>835</v>
      </c>
      <c r="EV17">
        <v>128</v>
      </c>
      <c r="EW17">
        <v>778</v>
      </c>
      <c r="FM17">
        <v>2463</v>
      </c>
      <c r="FN17">
        <v>13293</v>
      </c>
      <c r="FO17" s="17">
        <v>3982</v>
      </c>
      <c r="FP17" s="17">
        <v>23012</v>
      </c>
      <c r="FQ17" s="17">
        <v>5.779005524861878</v>
      </c>
    </row>
    <row r="18" spans="1:173" ht="15.75">
      <c r="A18" s="17" t="s">
        <v>294</v>
      </c>
      <c r="B18" t="s">
        <v>18</v>
      </c>
      <c r="C18">
        <v>2</v>
      </c>
      <c r="D18">
        <v>34</v>
      </c>
      <c r="E18">
        <v>20</v>
      </c>
      <c r="F18">
        <v>161</v>
      </c>
      <c r="G18">
        <v>143</v>
      </c>
      <c r="H18">
        <v>645</v>
      </c>
      <c r="K18" s="17">
        <v>165</v>
      </c>
      <c r="L18" s="17">
        <v>840</v>
      </c>
      <c r="M18" s="17">
        <v>5.090909090909091</v>
      </c>
      <c r="N18">
        <v>389</v>
      </c>
      <c r="O18">
        <v>2448</v>
      </c>
      <c r="V18">
        <v>12</v>
      </c>
      <c r="W18">
        <v>158</v>
      </c>
      <c r="X18">
        <v>26</v>
      </c>
      <c r="Y18">
        <v>178</v>
      </c>
      <c r="AB18" s="17">
        <v>427</v>
      </c>
      <c r="AC18" s="17">
        <v>2784</v>
      </c>
      <c r="AD18" s="17">
        <v>6.519906323185012</v>
      </c>
      <c r="AE18">
        <v>151</v>
      </c>
      <c r="AF18">
        <v>671</v>
      </c>
      <c r="AI18">
        <v>4</v>
      </c>
      <c r="AJ18">
        <v>314</v>
      </c>
      <c r="AK18">
        <v>37</v>
      </c>
      <c r="AL18">
        <v>431</v>
      </c>
      <c r="AM18" s="17">
        <v>192</v>
      </c>
      <c r="AN18" s="17">
        <v>1416</v>
      </c>
      <c r="AO18" s="17">
        <v>7.375</v>
      </c>
      <c r="AP18">
        <v>13</v>
      </c>
      <c r="AQ18">
        <v>1160</v>
      </c>
      <c r="AT18">
        <v>25</v>
      </c>
      <c r="AU18">
        <v>156</v>
      </c>
      <c r="BB18">
        <v>25</v>
      </c>
      <c r="BC18">
        <v>143</v>
      </c>
      <c r="BD18" s="17">
        <v>63</v>
      </c>
      <c r="BE18" s="17">
        <v>1459</v>
      </c>
      <c r="BF18" s="17">
        <v>23.158730158730158</v>
      </c>
      <c r="BK18">
        <v>1</v>
      </c>
      <c r="BL18">
        <v>4</v>
      </c>
      <c r="CR18">
        <v>373</v>
      </c>
      <c r="CS18">
        <v>3623</v>
      </c>
      <c r="DG18">
        <v>77</v>
      </c>
      <c r="DH18">
        <v>3962</v>
      </c>
      <c r="DI18" s="17">
        <v>374</v>
      </c>
      <c r="DJ18" s="17">
        <v>3627</v>
      </c>
      <c r="DK18" s="17">
        <v>9.697860962566844</v>
      </c>
      <c r="DS18">
        <v>35</v>
      </c>
      <c r="DT18">
        <v>147</v>
      </c>
      <c r="EB18">
        <v>51</v>
      </c>
      <c r="EC18">
        <v>218</v>
      </c>
      <c r="EK18">
        <v>8</v>
      </c>
      <c r="EL18">
        <v>35</v>
      </c>
      <c r="EV18">
        <v>10</v>
      </c>
      <c r="EW18">
        <v>44</v>
      </c>
      <c r="FM18">
        <v>324</v>
      </c>
      <c r="FN18">
        <v>1752</v>
      </c>
      <c r="FO18" s="17">
        <v>428</v>
      </c>
      <c r="FP18" s="17">
        <v>2196</v>
      </c>
      <c r="FQ18" s="17">
        <v>5.130841121495327</v>
      </c>
    </row>
    <row r="19" spans="1:173" ht="15.75">
      <c r="A19" s="17" t="s">
        <v>295</v>
      </c>
      <c r="B19" t="s">
        <v>19</v>
      </c>
      <c r="E19">
        <v>7</v>
      </c>
      <c r="F19">
        <v>66</v>
      </c>
      <c r="G19">
        <v>20</v>
      </c>
      <c r="H19">
        <v>86</v>
      </c>
      <c r="K19" s="17">
        <v>27</v>
      </c>
      <c r="L19" s="17">
        <v>152</v>
      </c>
      <c r="M19" s="17">
        <v>5.62962962962963</v>
      </c>
      <c r="N19">
        <v>279</v>
      </c>
      <c r="O19">
        <v>1035</v>
      </c>
      <c r="T19">
        <v>11</v>
      </c>
      <c r="U19">
        <v>70</v>
      </c>
      <c r="V19">
        <v>63</v>
      </c>
      <c r="W19">
        <v>644</v>
      </c>
      <c r="X19">
        <v>57</v>
      </c>
      <c r="Y19">
        <v>236</v>
      </c>
      <c r="AB19" s="17">
        <v>410</v>
      </c>
      <c r="AC19" s="17">
        <v>1985</v>
      </c>
      <c r="AD19" s="17">
        <v>4.841463414634147</v>
      </c>
      <c r="AE19">
        <v>5</v>
      </c>
      <c r="AF19">
        <v>53</v>
      </c>
      <c r="AK19">
        <v>19</v>
      </c>
      <c r="AL19">
        <v>90</v>
      </c>
      <c r="AM19" s="17">
        <v>24</v>
      </c>
      <c r="AN19" s="17">
        <v>143</v>
      </c>
      <c r="AO19" s="17">
        <v>5.958333333333333</v>
      </c>
      <c r="AP19">
        <v>52</v>
      </c>
      <c r="AQ19">
        <v>1959</v>
      </c>
      <c r="AT19">
        <v>472</v>
      </c>
      <c r="AU19">
        <v>2266</v>
      </c>
      <c r="BB19">
        <v>1</v>
      </c>
      <c r="BC19">
        <v>39</v>
      </c>
      <c r="BD19" s="17">
        <v>525</v>
      </c>
      <c r="BE19" s="17">
        <v>4264</v>
      </c>
      <c r="BF19" s="17">
        <v>8.121904761904762</v>
      </c>
      <c r="BK19">
        <v>2</v>
      </c>
      <c r="BL19">
        <v>39</v>
      </c>
      <c r="CR19">
        <v>744</v>
      </c>
      <c r="CS19">
        <v>3854</v>
      </c>
      <c r="DG19">
        <v>260</v>
      </c>
      <c r="DH19">
        <v>2262</v>
      </c>
      <c r="DI19" s="17">
        <v>746</v>
      </c>
      <c r="DJ19" s="17">
        <v>3893</v>
      </c>
      <c r="DK19" s="17">
        <v>5.218498659517426</v>
      </c>
      <c r="DS19">
        <v>6</v>
      </c>
      <c r="DT19">
        <v>26</v>
      </c>
      <c r="EB19">
        <v>19</v>
      </c>
      <c r="EC19">
        <v>188</v>
      </c>
      <c r="EK19">
        <v>20</v>
      </c>
      <c r="EL19">
        <v>382</v>
      </c>
      <c r="EV19">
        <v>1</v>
      </c>
      <c r="EW19">
        <v>20</v>
      </c>
      <c r="FM19">
        <v>94</v>
      </c>
      <c r="FN19">
        <v>467</v>
      </c>
      <c r="FO19" s="17">
        <v>140</v>
      </c>
      <c r="FP19" s="17">
        <v>1083</v>
      </c>
      <c r="FQ19" s="17">
        <v>7.735714285714286</v>
      </c>
    </row>
    <row r="20" spans="1:173" ht="15.75">
      <c r="A20" s="17" t="s">
        <v>296</v>
      </c>
      <c r="B20" t="s">
        <v>20</v>
      </c>
      <c r="C20">
        <v>131</v>
      </c>
      <c r="D20">
        <v>2752</v>
      </c>
      <c r="E20">
        <v>617</v>
      </c>
      <c r="F20">
        <v>5116</v>
      </c>
      <c r="G20">
        <v>4394</v>
      </c>
      <c r="H20">
        <v>16235</v>
      </c>
      <c r="K20" s="17">
        <v>5142</v>
      </c>
      <c r="L20" s="17">
        <v>24103</v>
      </c>
      <c r="M20" s="17">
        <v>4.687475690392843</v>
      </c>
      <c r="N20">
        <v>12315</v>
      </c>
      <c r="O20">
        <v>67858</v>
      </c>
      <c r="T20">
        <v>365</v>
      </c>
      <c r="U20">
        <v>4888</v>
      </c>
      <c r="V20">
        <v>384</v>
      </c>
      <c r="W20">
        <v>5832</v>
      </c>
      <c r="X20">
        <v>844</v>
      </c>
      <c r="Y20">
        <v>7807</v>
      </c>
      <c r="AB20" s="17">
        <v>13908</v>
      </c>
      <c r="AC20" s="17">
        <v>86385</v>
      </c>
      <c r="AD20" s="17">
        <v>6.211173425366695</v>
      </c>
      <c r="AE20">
        <v>2644</v>
      </c>
      <c r="AF20">
        <v>16178</v>
      </c>
      <c r="AI20">
        <v>37</v>
      </c>
      <c r="AJ20">
        <v>1802</v>
      </c>
      <c r="AK20">
        <v>358</v>
      </c>
      <c r="AL20">
        <v>4348</v>
      </c>
      <c r="AM20" s="17">
        <v>3039</v>
      </c>
      <c r="AN20" s="17">
        <v>22328</v>
      </c>
      <c r="AO20" s="17">
        <v>7.347153668970056</v>
      </c>
      <c r="AP20">
        <v>622</v>
      </c>
      <c r="AQ20">
        <v>16769</v>
      </c>
      <c r="AT20">
        <v>1247</v>
      </c>
      <c r="AU20">
        <v>17280</v>
      </c>
      <c r="AZ20">
        <v>8</v>
      </c>
      <c r="BA20">
        <v>134</v>
      </c>
      <c r="BB20">
        <v>144</v>
      </c>
      <c r="BC20">
        <v>2867</v>
      </c>
      <c r="BD20" s="17">
        <v>2021</v>
      </c>
      <c r="BE20" s="17">
        <v>37050</v>
      </c>
      <c r="BF20" s="17">
        <v>18.332508659079664</v>
      </c>
      <c r="BK20">
        <v>989</v>
      </c>
      <c r="BL20">
        <v>11003</v>
      </c>
      <c r="CR20">
        <v>19153</v>
      </c>
      <c r="CS20">
        <v>234827</v>
      </c>
      <c r="DG20">
        <v>1613</v>
      </c>
      <c r="DH20">
        <v>36099</v>
      </c>
      <c r="DI20" s="17">
        <v>20142</v>
      </c>
      <c r="DJ20" s="17">
        <v>245830</v>
      </c>
      <c r="DK20" s="17">
        <v>12.204845596266507</v>
      </c>
      <c r="DL20">
        <v>9</v>
      </c>
      <c r="DM20">
        <v>163</v>
      </c>
      <c r="DS20">
        <v>717</v>
      </c>
      <c r="DT20">
        <v>3936</v>
      </c>
      <c r="EB20">
        <v>7129</v>
      </c>
      <c r="EC20">
        <v>19285</v>
      </c>
      <c r="EK20">
        <v>704</v>
      </c>
      <c r="EL20">
        <v>6031</v>
      </c>
      <c r="EV20">
        <v>964</v>
      </c>
      <c r="EW20">
        <v>6171</v>
      </c>
      <c r="FM20">
        <v>15204</v>
      </c>
      <c r="FN20">
        <v>68425</v>
      </c>
      <c r="FO20" s="17">
        <v>24727</v>
      </c>
      <c r="FP20" s="17">
        <v>104011</v>
      </c>
      <c r="FQ20" s="17">
        <v>4.2063735997088205</v>
      </c>
    </row>
    <row r="21" spans="1:173" ht="15.75">
      <c r="A21" s="17" t="s">
        <v>297</v>
      </c>
      <c r="B21" t="s">
        <v>21</v>
      </c>
      <c r="C21">
        <v>16</v>
      </c>
      <c r="D21">
        <v>66</v>
      </c>
      <c r="E21">
        <v>45</v>
      </c>
      <c r="F21">
        <v>302</v>
      </c>
      <c r="G21">
        <v>374</v>
      </c>
      <c r="H21">
        <v>1023</v>
      </c>
      <c r="K21" s="17">
        <v>435</v>
      </c>
      <c r="L21" s="17">
        <v>1391</v>
      </c>
      <c r="M21" s="17">
        <v>3.197701149425287</v>
      </c>
      <c r="N21">
        <v>1087</v>
      </c>
      <c r="O21">
        <v>3368</v>
      </c>
      <c r="T21">
        <v>44</v>
      </c>
      <c r="U21">
        <v>324</v>
      </c>
      <c r="V21">
        <v>28</v>
      </c>
      <c r="W21">
        <v>315</v>
      </c>
      <c r="X21">
        <v>61</v>
      </c>
      <c r="Y21">
        <v>352</v>
      </c>
      <c r="AB21" s="17">
        <v>1220</v>
      </c>
      <c r="AC21" s="17">
        <v>4359</v>
      </c>
      <c r="AD21" s="17">
        <v>3.572950819672131</v>
      </c>
      <c r="AE21">
        <v>317</v>
      </c>
      <c r="AF21">
        <v>985</v>
      </c>
      <c r="AI21">
        <v>49</v>
      </c>
      <c r="AJ21">
        <v>424</v>
      </c>
      <c r="AK21">
        <v>26</v>
      </c>
      <c r="AL21">
        <v>158</v>
      </c>
      <c r="AM21" s="17">
        <v>392</v>
      </c>
      <c r="AN21" s="17">
        <v>1567</v>
      </c>
      <c r="AO21" s="17">
        <v>3.997448979591837</v>
      </c>
      <c r="AP21">
        <v>46</v>
      </c>
      <c r="AQ21">
        <v>1588</v>
      </c>
      <c r="AT21">
        <v>68</v>
      </c>
      <c r="AU21">
        <v>1060</v>
      </c>
      <c r="BB21">
        <v>7</v>
      </c>
      <c r="BC21">
        <v>41</v>
      </c>
      <c r="BD21" s="17">
        <v>121</v>
      </c>
      <c r="BE21" s="17">
        <v>2689</v>
      </c>
      <c r="BF21" s="17">
        <v>22.223140495867767</v>
      </c>
      <c r="BK21">
        <v>38</v>
      </c>
      <c r="BL21">
        <v>382</v>
      </c>
      <c r="CR21">
        <v>1221</v>
      </c>
      <c r="CS21">
        <v>12753</v>
      </c>
      <c r="DG21">
        <v>29</v>
      </c>
      <c r="DH21">
        <v>1070</v>
      </c>
      <c r="DI21" s="17">
        <v>1259</v>
      </c>
      <c r="DJ21" s="17">
        <v>13135</v>
      </c>
      <c r="DK21" s="17">
        <v>10.432883240667197</v>
      </c>
      <c r="DL21">
        <v>1</v>
      </c>
      <c r="DM21">
        <v>59</v>
      </c>
      <c r="DS21">
        <v>49</v>
      </c>
      <c r="DT21">
        <v>132</v>
      </c>
      <c r="EB21">
        <v>330</v>
      </c>
      <c r="EC21">
        <v>821</v>
      </c>
      <c r="EK21">
        <v>17</v>
      </c>
      <c r="EL21">
        <v>122</v>
      </c>
      <c r="EV21">
        <v>52</v>
      </c>
      <c r="EW21">
        <v>206</v>
      </c>
      <c r="FM21">
        <v>989</v>
      </c>
      <c r="FN21">
        <v>3615</v>
      </c>
      <c r="FO21" s="17">
        <v>1438</v>
      </c>
      <c r="FP21" s="17">
        <v>4955</v>
      </c>
      <c r="FQ21" s="17">
        <v>3.445757997218359</v>
      </c>
    </row>
    <row r="22" spans="1:173" ht="15.75">
      <c r="A22" s="17" t="s">
        <v>298</v>
      </c>
      <c r="B22" t="s">
        <v>22</v>
      </c>
      <c r="C22">
        <v>4</v>
      </c>
      <c r="D22">
        <v>42</v>
      </c>
      <c r="E22">
        <v>43</v>
      </c>
      <c r="F22">
        <v>406</v>
      </c>
      <c r="G22">
        <v>160</v>
      </c>
      <c r="H22">
        <v>1259</v>
      </c>
      <c r="K22" s="17">
        <v>207</v>
      </c>
      <c r="L22" s="17">
        <v>1707</v>
      </c>
      <c r="M22" s="17">
        <v>8.246376811594203</v>
      </c>
      <c r="N22">
        <v>421</v>
      </c>
      <c r="O22">
        <v>3447</v>
      </c>
      <c r="T22">
        <v>45</v>
      </c>
      <c r="U22">
        <v>589</v>
      </c>
      <c r="V22">
        <v>37</v>
      </c>
      <c r="W22">
        <v>498</v>
      </c>
      <c r="X22">
        <v>82</v>
      </c>
      <c r="Y22">
        <v>728</v>
      </c>
      <c r="AB22" s="17">
        <v>585</v>
      </c>
      <c r="AC22" s="17">
        <v>5262</v>
      </c>
      <c r="AD22" s="17">
        <v>8.994871794871795</v>
      </c>
      <c r="AE22">
        <v>362</v>
      </c>
      <c r="AF22">
        <v>1916</v>
      </c>
      <c r="AI22">
        <v>5</v>
      </c>
      <c r="AJ22">
        <v>218</v>
      </c>
      <c r="AK22">
        <v>324</v>
      </c>
      <c r="AL22">
        <v>563</v>
      </c>
      <c r="AM22" s="17">
        <v>691</v>
      </c>
      <c r="AN22" s="17">
        <v>2697</v>
      </c>
      <c r="AO22" s="17">
        <v>3.9030390738060783</v>
      </c>
      <c r="AP22">
        <v>60</v>
      </c>
      <c r="AQ22">
        <v>2318</v>
      </c>
      <c r="AT22">
        <v>97</v>
      </c>
      <c r="AU22">
        <v>1965</v>
      </c>
      <c r="BB22">
        <v>16</v>
      </c>
      <c r="BC22">
        <v>137</v>
      </c>
      <c r="BD22" s="17">
        <v>173</v>
      </c>
      <c r="BE22" s="17">
        <v>4420</v>
      </c>
      <c r="BF22" s="17">
        <v>25.54913294797688</v>
      </c>
      <c r="BK22">
        <v>111</v>
      </c>
      <c r="BL22">
        <v>646</v>
      </c>
      <c r="CR22">
        <v>1475</v>
      </c>
      <c r="CS22">
        <v>17291</v>
      </c>
      <c r="DG22">
        <v>256</v>
      </c>
      <c r="DH22">
        <v>7018</v>
      </c>
      <c r="DI22" s="17">
        <v>1586</v>
      </c>
      <c r="DJ22" s="17">
        <v>17937</v>
      </c>
      <c r="DK22" s="17">
        <v>11.309583858764187</v>
      </c>
      <c r="DS22">
        <v>143</v>
      </c>
      <c r="DT22">
        <v>1658</v>
      </c>
      <c r="EB22">
        <v>495</v>
      </c>
      <c r="EC22">
        <v>4154</v>
      </c>
      <c r="EK22">
        <v>131</v>
      </c>
      <c r="EL22">
        <v>973</v>
      </c>
      <c r="EV22">
        <v>41</v>
      </c>
      <c r="EW22">
        <v>288</v>
      </c>
      <c r="FM22">
        <v>490</v>
      </c>
      <c r="FN22">
        <v>4048</v>
      </c>
      <c r="FO22" s="17">
        <v>1300</v>
      </c>
      <c r="FP22" s="17">
        <v>11121</v>
      </c>
      <c r="FQ22" s="17">
        <v>8.554615384615385</v>
      </c>
    </row>
    <row r="23" spans="1:173" ht="15.75">
      <c r="A23" s="17" t="s">
        <v>299</v>
      </c>
      <c r="B23" t="s">
        <v>23</v>
      </c>
      <c r="C23">
        <v>29</v>
      </c>
      <c r="D23">
        <v>210</v>
      </c>
      <c r="E23">
        <v>257</v>
      </c>
      <c r="F23">
        <v>3253</v>
      </c>
      <c r="G23">
        <v>267</v>
      </c>
      <c r="H23">
        <v>2034</v>
      </c>
      <c r="K23" s="17">
        <v>553</v>
      </c>
      <c r="L23" s="17">
        <v>5497</v>
      </c>
      <c r="M23" s="17">
        <v>9.940325497287523</v>
      </c>
      <c r="N23">
        <v>2600</v>
      </c>
      <c r="O23">
        <v>11221</v>
      </c>
      <c r="T23">
        <v>407</v>
      </c>
      <c r="U23">
        <v>5520</v>
      </c>
      <c r="V23">
        <v>148</v>
      </c>
      <c r="W23">
        <v>3711</v>
      </c>
      <c r="X23">
        <v>204</v>
      </c>
      <c r="Y23">
        <v>2296</v>
      </c>
      <c r="AB23" s="17">
        <v>3359</v>
      </c>
      <c r="AC23" s="17">
        <v>22748</v>
      </c>
      <c r="AD23" s="17">
        <v>6.772253646918726</v>
      </c>
      <c r="AE23">
        <v>353</v>
      </c>
      <c r="AI23">
        <v>34</v>
      </c>
      <c r="AJ23">
        <v>5659</v>
      </c>
      <c r="AK23">
        <v>488</v>
      </c>
      <c r="AL23">
        <v>3297</v>
      </c>
      <c r="AM23" s="17">
        <v>875</v>
      </c>
      <c r="AN23" s="17">
        <v>8956</v>
      </c>
      <c r="AO23" s="17">
        <v>10.23542857142857</v>
      </c>
      <c r="AP23">
        <v>726</v>
      </c>
      <c r="AQ23">
        <v>15544</v>
      </c>
      <c r="AT23">
        <v>205</v>
      </c>
      <c r="AU23">
        <v>8181</v>
      </c>
      <c r="AZ23">
        <v>14</v>
      </c>
      <c r="BA23">
        <v>629</v>
      </c>
      <c r="BB23">
        <v>66</v>
      </c>
      <c r="BC23">
        <v>504</v>
      </c>
      <c r="BD23" s="17">
        <v>1011</v>
      </c>
      <c r="BE23" s="17">
        <v>24858</v>
      </c>
      <c r="BF23" s="17">
        <v>24.587537091988132</v>
      </c>
      <c r="BK23">
        <v>29</v>
      </c>
      <c r="BL23">
        <v>154</v>
      </c>
      <c r="CR23">
        <v>6262</v>
      </c>
      <c r="CS23">
        <v>50015</v>
      </c>
      <c r="DG23">
        <v>240</v>
      </c>
      <c r="DH23">
        <v>6623</v>
      </c>
      <c r="DI23" s="17">
        <v>6291</v>
      </c>
      <c r="DJ23" s="17">
        <v>50169</v>
      </c>
      <c r="DK23" s="17">
        <v>7.974725798760134</v>
      </c>
      <c r="DL23">
        <v>1147</v>
      </c>
      <c r="DM23">
        <v>19968</v>
      </c>
      <c r="DS23">
        <v>56</v>
      </c>
      <c r="DT23">
        <v>1796</v>
      </c>
      <c r="EB23">
        <v>726</v>
      </c>
      <c r="EC23">
        <v>4140</v>
      </c>
      <c r="EK23">
        <v>507</v>
      </c>
      <c r="EL23">
        <v>2571</v>
      </c>
      <c r="EV23">
        <v>66</v>
      </c>
      <c r="EW23">
        <v>1073</v>
      </c>
      <c r="FM23">
        <v>2442</v>
      </c>
      <c r="FN23">
        <v>8910</v>
      </c>
      <c r="FO23" s="17">
        <v>4944</v>
      </c>
      <c r="FP23" s="17">
        <v>38458</v>
      </c>
      <c r="FQ23" s="17">
        <v>7.7787216828478964</v>
      </c>
    </row>
    <row r="24" spans="2:198" ht="15.75">
      <c r="B24" t="s">
        <v>4</v>
      </c>
      <c r="C24">
        <v>940</v>
      </c>
      <c r="D24">
        <v>45970</v>
      </c>
      <c r="E24">
        <v>4991</v>
      </c>
      <c r="F24">
        <v>56923</v>
      </c>
      <c r="G24">
        <v>14921</v>
      </c>
      <c r="H24">
        <v>78245</v>
      </c>
      <c r="K24" s="17">
        <v>20852</v>
      </c>
      <c r="L24" s="17">
        <v>181138</v>
      </c>
      <c r="M24" s="17">
        <v>8.686840590830617</v>
      </c>
      <c r="N24">
        <v>54550</v>
      </c>
      <c r="O24">
        <v>504387</v>
      </c>
      <c r="T24">
        <v>1831</v>
      </c>
      <c r="U24">
        <v>26820</v>
      </c>
      <c r="V24">
        <v>2198</v>
      </c>
      <c r="W24">
        <v>51564</v>
      </c>
      <c r="X24">
        <v>5297</v>
      </c>
      <c r="Y24">
        <v>83510</v>
      </c>
      <c r="Z24">
        <v>0</v>
      </c>
      <c r="AA24">
        <v>0</v>
      </c>
      <c r="AB24" s="17">
        <v>63876</v>
      </c>
      <c r="AC24" s="17">
        <v>666281</v>
      </c>
      <c r="AD24" s="17">
        <v>10.430850397645438</v>
      </c>
      <c r="AE24">
        <v>12931</v>
      </c>
      <c r="AF24">
        <v>122100</v>
      </c>
      <c r="AI24">
        <v>885</v>
      </c>
      <c r="AJ24">
        <v>37175</v>
      </c>
      <c r="AK24">
        <v>4366</v>
      </c>
      <c r="AL24">
        <v>44578</v>
      </c>
      <c r="AM24" s="17">
        <v>18182</v>
      </c>
      <c r="AN24" s="17">
        <v>203853</v>
      </c>
      <c r="AO24" s="17">
        <v>11.211802881971181</v>
      </c>
      <c r="AP24">
        <v>4204</v>
      </c>
      <c r="AQ24">
        <v>137148</v>
      </c>
      <c r="AR24">
        <v>0</v>
      </c>
      <c r="AS24">
        <v>0</v>
      </c>
      <c r="AT24">
        <v>5534</v>
      </c>
      <c r="AU24">
        <v>162414</v>
      </c>
      <c r="AV24">
        <v>0</v>
      </c>
      <c r="AW24">
        <v>0</v>
      </c>
      <c r="AX24">
        <v>0</v>
      </c>
      <c r="AY24">
        <v>0</v>
      </c>
      <c r="AZ24">
        <v>167</v>
      </c>
      <c r="BA24">
        <v>10676</v>
      </c>
      <c r="BB24">
        <v>2250</v>
      </c>
      <c r="BC24">
        <v>26989</v>
      </c>
      <c r="BD24" s="17">
        <v>12155</v>
      </c>
      <c r="BE24" s="17">
        <v>337227</v>
      </c>
      <c r="BF24" s="17">
        <v>27.743891402714933</v>
      </c>
      <c r="BI24">
        <v>0</v>
      </c>
      <c r="BJ24">
        <v>0</v>
      </c>
      <c r="BK24">
        <v>5578</v>
      </c>
      <c r="BL24">
        <v>55987</v>
      </c>
      <c r="BP24">
        <v>0</v>
      </c>
      <c r="BQ24">
        <v>0</v>
      </c>
      <c r="BT24">
        <v>0</v>
      </c>
      <c r="BU24">
        <v>0</v>
      </c>
      <c r="CF24">
        <v>0</v>
      </c>
      <c r="CG24">
        <v>0</v>
      </c>
      <c r="CR24">
        <v>80564</v>
      </c>
      <c r="CS24">
        <v>1351313</v>
      </c>
      <c r="DG24">
        <v>9813</v>
      </c>
      <c r="DH24">
        <v>525178</v>
      </c>
      <c r="DI24" s="17">
        <v>86142</v>
      </c>
      <c r="DJ24" s="17">
        <v>1407300</v>
      </c>
      <c r="DK24" s="17">
        <v>16.336978477397786</v>
      </c>
      <c r="DL24">
        <v>1776</v>
      </c>
      <c r="DM24">
        <v>56611</v>
      </c>
      <c r="DO24">
        <v>0</v>
      </c>
      <c r="DP24">
        <v>0</v>
      </c>
      <c r="DQ24">
        <v>0</v>
      </c>
      <c r="DR24">
        <v>0</v>
      </c>
      <c r="DS24">
        <v>5999</v>
      </c>
      <c r="DT24">
        <v>150690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29843</v>
      </c>
      <c r="EC24">
        <v>252986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7252</v>
      </c>
      <c r="EL24">
        <v>278847</v>
      </c>
      <c r="EN24">
        <v>0</v>
      </c>
      <c r="EO24">
        <v>0</v>
      </c>
      <c r="EP24">
        <v>0</v>
      </c>
      <c r="EQ24">
        <v>0</v>
      </c>
      <c r="EV24">
        <v>4871</v>
      </c>
      <c r="EW24">
        <v>61120</v>
      </c>
      <c r="EY24">
        <v>0</v>
      </c>
      <c r="EZ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M24">
        <v>65226</v>
      </c>
      <c r="FN24">
        <v>361578</v>
      </c>
      <c r="FO24" s="17">
        <v>114967</v>
      </c>
      <c r="FP24" s="17">
        <v>1161832</v>
      </c>
      <c r="FQ24" s="17">
        <v>10.10578687797368</v>
      </c>
      <c r="FR24">
        <v>0</v>
      </c>
      <c r="FS24">
        <v>0</v>
      </c>
      <c r="FT24">
        <v>0</v>
      </c>
      <c r="FU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</row>
    <row r="25" spans="1:198" ht="15.75">
      <c r="A25" s="17" t="s">
        <v>300</v>
      </c>
      <c r="B25" t="s">
        <v>24</v>
      </c>
      <c r="C25">
        <v>760</v>
      </c>
      <c r="D25">
        <v>42900</v>
      </c>
      <c r="E25">
        <v>4029</v>
      </c>
      <c r="F25">
        <v>47846</v>
      </c>
      <c r="G25">
        <v>9726</v>
      </c>
      <c r="H25">
        <v>57694</v>
      </c>
      <c r="K25" s="17">
        <v>14515</v>
      </c>
      <c r="L25" s="17">
        <v>148440</v>
      </c>
      <c r="M25" s="17">
        <v>10.226662073716845</v>
      </c>
      <c r="N25">
        <v>38127</v>
      </c>
      <c r="O25">
        <v>418493</v>
      </c>
      <c r="T25">
        <v>970</v>
      </c>
      <c r="U25">
        <v>15499</v>
      </c>
      <c r="V25">
        <v>1601</v>
      </c>
      <c r="W25">
        <v>41208</v>
      </c>
      <c r="X25">
        <v>4106</v>
      </c>
      <c r="Y25">
        <v>72327</v>
      </c>
      <c r="AB25" s="17">
        <v>44804</v>
      </c>
      <c r="AC25" s="17">
        <v>547527</v>
      </c>
      <c r="AD25" s="17">
        <v>12.220493705919115</v>
      </c>
      <c r="AE25">
        <v>9255</v>
      </c>
      <c r="AF25">
        <v>103021</v>
      </c>
      <c r="AG25">
        <v>0</v>
      </c>
      <c r="AH25">
        <v>0</v>
      </c>
      <c r="AI25">
        <v>760</v>
      </c>
      <c r="AJ25">
        <v>29072</v>
      </c>
      <c r="AK25">
        <v>3170</v>
      </c>
      <c r="AL25">
        <v>36212</v>
      </c>
      <c r="AM25" s="17">
        <v>13185</v>
      </c>
      <c r="AN25" s="17">
        <v>168305</v>
      </c>
      <c r="AO25" s="17">
        <v>12.764884338263178</v>
      </c>
      <c r="AP25">
        <v>2750</v>
      </c>
      <c r="AQ25">
        <v>100929</v>
      </c>
      <c r="AR25">
        <v>0</v>
      </c>
      <c r="AS25">
        <v>0</v>
      </c>
      <c r="AT25">
        <v>3917</v>
      </c>
      <c r="AU25">
        <v>133928</v>
      </c>
      <c r="AV25">
        <v>0</v>
      </c>
      <c r="AW25">
        <v>0</v>
      </c>
      <c r="AX25">
        <v>0</v>
      </c>
      <c r="AY25">
        <v>0</v>
      </c>
      <c r="AZ25">
        <v>145</v>
      </c>
      <c r="BA25">
        <v>9913</v>
      </c>
      <c r="BB25">
        <v>2017</v>
      </c>
      <c r="BC25">
        <v>23440</v>
      </c>
      <c r="BD25" s="17">
        <v>8829</v>
      </c>
      <c r="BE25" s="17">
        <v>268210</v>
      </c>
      <c r="BF25" s="17">
        <v>30.37829878808472</v>
      </c>
      <c r="BI25">
        <v>0</v>
      </c>
      <c r="BJ25">
        <v>0</v>
      </c>
      <c r="BK25">
        <v>4411</v>
      </c>
      <c r="BL25">
        <v>43802</v>
      </c>
      <c r="BP25">
        <v>0</v>
      </c>
      <c r="BQ25">
        <v>0</v>
      </c>
      <c r="BT25">
        <v>0</v>
      </c>
      <c r="BU25">
        <v>0</v>
      </c>
      <c r="CF25">
        <v>0</v>
      </c>
      <c r="CG25">
        <v>0</v>
      </c>
      <c r="CR25">
        <v>52453</v>
      </c>
      <c r="CS25">
        <v>1036427</v>
      </c>
      <c r="DG25">
        <v>7675</v>
      </c>
      <c r="DH25">
        <v>474368</v>
      </c>
      <c r="DI25" s="17">
        <v>56864</v>
      </c>
      <c r="DJ25" s="17">
        <v>1080229</v>
      </c>
      <c r="DK25" s="17">
        <v>18.9967114518852</v>
      </c>
      <c r="DL25">
        <v>619</v>
      </c>
      <c r="DM25">
        <v>36421</v>
      </c>
      <c r="DO25">
        <v>0</v>
      </c>
      <c r="DP25">
        <v>0</v>
      </c>
      <c r="DQ25">
        <v>0</v>
      </c>
      <c r="DR25">
        <v>0</v>
      </c>
      <c r="DS25">
        <v>5034</v>
      </c>
      <c r="DT25">
        <v>143168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21163</v>
      </c>
      <c r="EC25">
        <v>224586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5893</v>
      </c>
      <c r="EL25">
        <v>269150</v>
      </c>
      <c r="EN25">
        <v>0</v>
      </c>
      <c r="EO25">
        <v>0</v>
      </c>
      <c r="EP25">
        <v>0</v>
      </c>
      <c r="EQ25">
        <v>0</v>
      </c>
      <c r="EV25">
        <v>3748</v>
      </c>
      <c r="EW25">
        <v>53382</v>
      </c>
      <c r="EY25">
        <v>0</v>
      </c>
      <c r="EZ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M25">
        <v>46101</v>
      </c>
      <c r="FN25">
        <v>276580</v>
      </c>
      <c r="FO25" s="17">
        <v>82558</v>
      </c>
      <c r="FP25" s="17">
        <v>1003287</v>
      </c>
      <c r="FQ25" s="17">
        <v>12.152510961990359</v>
      </c>
      <c r="FR25">
        <v>0</v>
      </c>
      <c r="FS25">
        <v>0</v>
      </c>
      <c r="FT25">
        <v>0</v>
      </c>
      <c r="FU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</row>
    <row r="26" spans="2:13" ht="15.75">
      <c r="B26" t="s">
        <v>25</v>
      </c>
      <c r="C26">
        <v>26</v>
      </c>
      <c r="D26">
        <v>1660</v>
      </c>
      <c r="K26" s="17">
        <v>26</v>
      </c>
      <c r="L26" s="17">
        <v>1660</v>
      </c>
      <c r="M26" s="17">
        <v>63.84615384615385</v>
      </c>
    </row>
    <row r="27" spans="1:192" ht="15.75">
      <c r="A27" s="18" t="s">
        <v>301</v>
      </c>
      <c r="B27" t="s">
        <v>26</v>
      </c>
      <c r="C27">
        <v>18</v>
      </c>
      <c r="D27">
        <v>241</v>
      </c>
      <c r="E27">
        <v>139</v>
      </c>
      <c r="F27">
        <v>1516</v>
      </c>
      <c r="G27">
        <v>5</v>
      </c>
      <c r="H27">
        <v>292</v>
      </c>
      <c r="I27">
        <v>40</v>
      </c>
      <c r="J27">
        <v>588</v>
      </c>
      <c r="K27" s="17">
        <v>202</v>
      </c>
      <c r="L27" s="17">
        <v>2637</v>
      </c>
      <c r="M27" s="17">
        <v>13.054455445544555</v>
      </c>
      <c r="N27">
        <v>77</v>
      </c>
      <c r="O27">
        <v>1619</v>
      </c>
      <c r="P27">
        <v>69</v>
      </c>
      <c r="Q27">
        <v>1252</v>
      </c>
      <c r="R27">
        <v>140</v>
      </c>
      <c r="S27">
        <v>2216</v>
      </c>
      <c r="T27">
        <v>22</v>
      </c>
      <c r="U27">
        <v>514</v>
      </c>
      <c r="V27">
        <v>108</v>
      </c>
      <c r="W27">
        <v>2989</v>
      </c>
      <c r="X27">
        <v>69</v>
      </c>
      <c r="Y27">
        <v>808</v>
      </c>
      <c r="Z27">
        <v>64</v>
      </c>
      <c r="AA27">
        <v>823</v>
      </c>
      <c r="AB27" s="17">
        <v>549</v>
      </c>
      <c r="AC27" s="17">
        <v>10221</v>
      </c>
      <c r="AD27" s="17">
        <v>18.617486338797814</v>
      </c>
      <c r="AE27">
        <v>2</v>
      </c>
      <c r="AF27">
        <v>5</v>
      </c>
      <c r="AG27">
        <v>16</v>
      </c>
      <c r="AH27">
        <v>495</v>
      </c>
      <c r="AI27">
        <v>6</v>
      </c>
      <c r="AJ27">
        <v>301</v>
      </c>
      <c r="AK27">
        <v>78</v>
      </c>
      <c r="AL27">
        <v>847</v>
      </c>
      <c r="AM27" s="17">
        <v>102</v>
      </c>
      <c r="AN27" s="17">
        <v>1648</v>
      </c>
      <c r="AO27" s="17">
        <v>16.15686274509804</v>
      </c>
      <c r="AP27">
        <v>11</v>
      </c>
      <c r="AQ27">
        <v>229</v>
      </c>
      <c r="AR27">
        <v>24</v>
      </c>
      <c r="AS27">
        <v>2187</v>
      </c>
      <c r="AT27">
        <v>19</v>
      </c>
      <c r="AU27">
        <v>1323</v>
      </c>
      <c r="AV27">
        <v>32</v>
      </c>
      <c r="AW27">
        <v>786</v>
      </c>
      <c r="AX27">
        <v>1</v>
      </c>
      <c r="AY27">
        <v>1824</v>
      </c>
      <c r="AZ27">
        <v>1</v>
      </c>
      <c r="BA27">
        <v>60</v>
      </c>
      <c r="BB27">
        <v>57</v>
      </c>
      <c r="BC27">
        <v>2050</v>
      </c>
      <c r="BD27" s="17">
        <v>145</v>
      </c>
      <c r="BE27" s="17">
        <v>8459</v>
      </c>
      <c r="BF27" s="17">
        <v>58.33793103448276</v>
      </c>
      <c r="BG27">
        <v>16</v>
      </c>
      <c r="BH27">
        <v>164</v>
      </c>
      <c r="BI27">
        <v>154</v>
      </c>
      <c r="BJ27">
        <v>2436</v>
      </c>
      <c r="BK27">
        <v>170</v>
      </c>
      <c r="BL27">
        <v>2600</v>
      </c>
      <c r="BN27">
        <v>1</v>
      </c>
      <c r="BO27">
        <v>10</v>
      </c>
      <c r="BP27">
        <v>170</v>
      </c>
      <c r="BQ27">
        <v>3137</v>
      </c>
      <c r="BR27">
        <v>4</v>
      </c>
      <c r="BS27">
        <v>15094</v>
      </c>
      <c r="BT27">
        <v>208</v>
      </c>
      <c r="BU27">
        <v>3524</v>
      </c>
      <c r="BV27">
        <v>2</v>
      </c>
      <c r="BW27">
        <v>25</v>
      </c>
      <c r="BZ27">
        <v>1</v>
      </c>
      <c r="CA27">
        <v>9</v>
      </c>
      <c r="CB27">
        <v>1</v>
      </c>
      <c r="CC27">
        <v>10</v>
      </c>
      <c r="CD27">
        <v>3</v>
      </c>
      <c r="CE27">
        <v>74</v>
      </c>
      <c r="CF27">
        <v>45</v>
      </c>
      <c r="CG27">
        <v>891</v>
      </c>
      <c r="CH27">
        <v>1</v>
      </c>
      <c r="CI27">
        <v>7</v>
      </c>
      <c r="CJ27">
        <v>17</v>
      </c>
      <c r="CK27">
        <v>199</v>
      </c>
      <c r="CP27">
        <v>15</v>
      </c>
      <c r="CQ27">
        <v>251</v>
      </c>
      <c r="CR27">
        <v>468</v>
      </c>
      <c r="CS27">
        <v>23231</v>
      </c>
      <c r="CU27">
        <v>9</v>
      </c>
      <c r="CV27">
        <v>3541</v>
      </c>
      <c r="CY27">
        <v>2</v>
      </c>
      <c r="CZ27">
        <v>20</v>
      </c>
      <c r="DC27">
        <v>136</v>
      </c>
      <c r="DD27">
        <v>4162</v>
      </c>
      <c r="DE27">
        <v>3</v>
      </c>
      <c r="DF27">
        <v>49</v>
      </c>
      <c r="DG27">
        <v>150</v>
      </c>
      <c r="DH27">
        <v>7772</v>
      </c>
      <c r="DI27" s="17">
        <v>638</v>
      </c>
      <c r="DJ27" s="17">
        <v>25831</v>
      </c>
      <c r="DK27" s="17">
        <v>40.48746081504702</v>
      </c>
      <c r="DL27">
        <v>9</v>
      </c>
      <c r="DM27">
        <v>165</v>
      </c>
      <c r="DO27">
        <v>15</v>
      </c>
      <c r="DP27">
        <v>240</v>
      </c>
      <c r="DS27">
        <v>15</v>
      </c>
      <c r="DT27">
        <v>240</v>
      </c>
      <c r="DX27">
        <v>28</v>
      </c>
      <c r="DY27">
        <v>312</v>
      </c>
      <c r="DZ27">
        <v>13</v>
      </c>
      <c r="EA27">
        <v>302</v>
      </c>
      <c r="EB27">
        <v>41</v>
      </c>
      <c r="EC27">
        <v>614</v>
      </c>
      <c r="EE27">
        <v>16</v>
      </c>
      <c r="EF27">
        <v>329</v>
      </c>
      <c r="EI27">
        <v>20</v>
      </c>
      <c r="EJ27">
        <v>411</v>
      </c>
      <c r="EK27">
        <v>36</v>
      </c>
      <c r="EL27">
        <v>740</v>
      </c>
      <c r="EN27">
        <v>22</v>
      </c>
      <c r="EO27">
        <v>468</v>
      </c>
      <c r="EP27">
        <v>13</v>
      </c>
      <c r="EQ27">
        <v>100</v>
      </c>
      <c r="ER27">
        <v>85</v>
      </c>
      <c r="ES27">
        <v>708</v>
      </c>
      <c r="ET27">
        <v>65</v>
      </c>
      <c r="EU27">
        <v>611</v>
      </c>
      <c r="EV27">
        <v>185</v>
      </c>
      <c r="EW27">
        <v>1887</v>
      </c>
      <c r="EY27">
        <v>75</v>
      </c>
      <c r="EZ27">
        <v>780</v>
      </c>
      <c r="FA27">
        <v>19</v>
      </c>
      <c r="FB27">
        <v>201</v>
      </c>
      <c r="FC27">
        <v>327</v>
      </c>
      <c r="FD27">
        <v>404</v>
      </c>
      <c r="FE27">
        <v>1080</v>
      </c>
      <c r="FF27">
        <v>10775</v>
      </c>
      <c r="FI27">
        <v>76</v>
      </c>
      <c r="FJ27">
        <v>896</v>
      </c>
      <c r="FK27">
        <v>35</v>
      </c>
      <c r="FL27">
        <v>305</v>
      </c>
      <c r="FM27">
        <v>1612</v>
      </c>
      <c r="FN27">
        <v>13361</v>
      </c>
      <c r="FO27" s="17">
        <v>1898</v>
      </c>
      <c r="FP27" s="17">
        <v>17007</v>
      </c>
      <c r="FQ27" s="17">
        <v>8.960484720758693</v>
      </c>
      <c r="FT27">
        <v>46</v>
      </c>
      <c r="FU27">
        <v>1455</v>
      </c>
      <c r="FV27">
        <v>20</v>
      </c>
      <c r="FW27">
        <v>207</v>
      </c>
      <c r="FX27">
        <v>1073</v>
      </c>
      <c r="FY27">
        <v>9278</v>
      </c>
      <c r="FZ27">
        <v>150</v>
      </c>
      <c r="GA27">
        <v>1030</v>
      </c>
      <c r="GB27">
        <v>33</v>
      </c>
      <c r="GC27">
        <v>328</v>
      </c>
      <c r="GD27">
        <v>33</v>
      </c>
      <c r="GE27">
        <v>334</v>
      </c>
      <c r="GF27">
        <v>39</v>
      </c>
      <c r="GG27">
        <v>909</v>
      </c>
      <c r="GJ27">
        <v>75</v>
      </c>
    </row>
    <row r="28" spans="1:192" ht="15.75">
      <c r="A28" s="18" t="s">
        <v>302</v>
      </c>
      <c r="B28" t="s">
        <v>28</v>
      </c>
      <c r="C28">
        <v>3</v>
      </c>
      <c r="D28">
        <v>15</v>
      </c>
      <c r="E28">
        <v>19</v>
      </c>
      <c r="F28">
        <v>153</v>
      </c>
      <c r="I28">
        <v>283</v>
      </c>
      <c r="J28">
        <v>893</v>
      </c>
      <c r="K28" s="17">
        <v>305</v>
      </c>
      <c r="L28" s="17">
        <v>1061</v>
      </c>
      <c r="M28" s="17">
        <v>3.4786885245901638</v>
      </c>
      <c r="N28">
        <v>12</v>
      </c>
      <c r="O28">
        <v>86</v>
      </c>
      <c r="P28">
        <v>484</v>
      </c>
      <c r="Q28">
        <v>2031</v>
      </c>
      <c r="R28">
        <v>98</v>
      </c>
      <c r="S28">
        <v>460</v>
      </c>
      <c r="T28">
        <v>11</v>
      </c>
      <c r="U28">
        <v>112</v>
      </c>
      <c r="V28">
        <v>11</v>
      </c>
      <c r="W28">
        <v>113</v>
      </c>
      <c r="X28">
        <v>7</v>
      </c>
      <c r="Y28">
        <v>50</v>
      </c>
      <c r="Z28">
        <v>26</v>
      </c>
      <c r="AA28">
        <v>197</v>
      </c>
      <c r="AB28" s="17">
        <v>649</v>
      </c>
      <c r="AC28" s="17">
        <v>3049</v>
      </c>
      <c r="AD28" s="17">
        <v>4.697996918335901</v>
      </c>
      <c r="AE28">
        <v>17</v>
      </c>
      <c r="AF28">
        <v>638</v>
      </c>
      <c r="AG28">
        <v>110</v>
      </c>
      <c r="AH28">
        <v>462</v>
      </c>
      <c r="AK28">
        <v>49</v>
      </c>
      <c r="AL28">
        <v>473</v>
      </c>
      <c r="AM28" s="17">
        <v>176</v>
      </c>
      <c r="AN28" s="17">
        <v>1573</v>
      </c>
      <c r="AO28" s="17">
        <v>8.9375</v>
      </c>
      <c r="AP28">
        <v>1</v>
      </c>
      <c r="AQ28">
        <v>20</v>
      </c>
      <c r="AR28">
        <v>29</v>
      </c>
      <c r="AS28">
        <v>889</v>
      </c>
      <c r="AT28">
        <v>2</v>
      </c>
      <c r="AU28">
        <v>15</v>
      </c>
      <c r="AV28">
        <v>33</v>
      </c>
      <c r="AW28">
        <v>321</v>
      </c>
      <c r="BB28">
        <v>6</v>
      </c>
      <c r="BC28">
        <v>44</v>
      </c>
      <c r="BD28" s="17">
        <v>71</v>
      </c>
      <c r="BE28" s="17">
        <v>1289</v>
      </c>
      <c r="BF28" s="17">
        <v>18.154929577464788</v>
      </c>
      <c r="BG28">
        <v>3</v>
      </c>
      <c r="BH28">
        <v>27</v>
      </c>
      <c r="BI28">
        <v>64</v>
      </c>
      <c r="BJ28">
        <v>416</v>
      </c>
      <c r="BK28">
        <v>67</v>
      </c>
      <c r="BL28">
        <v>443</v>
      </c>
      <c r="BP28">
        <v>518</v>
      </c>
      <c r="BQ28">
        <v>6980</v>
      </c>
      <c r="BT28">
        <v>154</v>
      </c>
      <c r="BU28">
        <v>1298</v>
      </c>
      <c r="BX28">
        <v>1</v>
      </c>
      <c r="BY28">
        <v>420</v>
      </c>
      <c r="CF28">
        <v>9</v>
      </c>
      <c r="CG28">
        <v>198</v>
      </c>
      <c r="CP28">
        <v>39</v>
      </c>
      <c r="CQ28">
        <v>243</v>
      </c>
      <c r="CR28">
        <v>721</v>
      </c>
      <c r="CS28">
        <v>9139</v>
      </c>
      <c r="CU28">
        <v>4</v>
      </c>
      <c r="CV28">
        <v>347</v>
      </c>
      <c r="DE28">
        <v>8</v>
      </c>
      <c r="DF28">
        <v>122</v>
      </c>
      <c r="DG28">
        <v>12</v>
      </c>
      <c r="DH28">
        <v>469</v>
      </c>
      <c r="DI28" s="17">
        <v>788</v>
      </c>
      <c r="DJ28" s="17">
        <v>9582</v>
      </c>
      <c r="DK28" s="17">
        <v>12.15989847715736</v>
      </c>
      <c r="DO28">
        <v>2</v>
      </c>
      <c r="DP28">
        <v>5</v>
      </c>
      <c r="DQ28">
        <v>27</v>
      </c>
      <c r="DR28">
        <v>104</v>
      </c>
      <c r="DS28">
        <v>29</v>
      </c>
      <c r="DT28">
        <v>109</v>
      </c>
      <c r="DX28">
        <v>37</v>
      </c>
      <c r="DY28">
        <v>208</v>
      </c>
      <c r="DZ28">
        <v>568</v>
      </c>
      <c r="EA28">
        <v>894</v>
      </c>
      <c r="EB28">
        <v>605</v>
      </c>
      <c r="EC28">
        <v>1102</v>
      </c>
      <c r="EE28">
        <v>2</v>
      </c>
      <c r="EF28">
        <v>5</v>
      </c>
      <c r="EI28">
        <v>17</v>
      </c>
      <c r="EJ28">
        <v>302</v>
      </c>
      <c r="EK28">
        <v>19</v>
      </c>
      <c r="EL28">
        <v>307</v>
      </c>
      <c r="ER28">
        <v>23</v>
      </c>
      <c r="ES28">
        <v>96</v>
      </c>
      <c r="ET28">
        <v>7</v>
      </c>
      <c r="EU28">
        <v>20</v>
      </c>
      <c r="EV28">
        <v>30</v>
      </c>
      <c r="EW28">
        <v>116</v>
      </c>
      <c r="FA28">
        <v>2</v>
      </c>
      <c r="FB28">
        <v>20</v>
      </c>
      <c r="FE28">
        <v>617</v>
      </c>
      <c r="FF28">
        <v>2229</v>
      </c>
      <c r="FG28">
        <v>7</v>
      </c>
      <c r="FH28">
        <v>51</v>
      </c>
      <c r="FI28">
        <v>2</v>
      </c>
      <c r="FJ28">
        <v>4</v>
      </c>
      <c r="FK28">
        <v>2</v>
      </c>
      <c r="FL28">
        <v>12</v>
      </c>
      <c r="FM28">
        <v>630</v>
      </c>
      <c r="FN28">
        <v>2316</v>
      </c>
      <c r="FO28" s="17">
        <v>1313</v>
      </c>
      <c r="FP28" s="17">
        <v>3950</v>
      </c>
      <c r="FQ28" s="17">
        <v>3.0083777608530085</v>
      </c>
      <c r="FT28">
        <v>35</v>
      </c>
      <c r="FU28">
        <v>435</v>
      </c>
      <c r="FV28">
        <v>15</v>
      </c>
      <c r="FW28">
        <v>104</v>
      </c>
      <c r="FX28">
        <v>450</v>
      </c>
      <c r="FY28">
        <v>1759</v>
      </c>
      <c r="FZ28">
        <v>870</v>
      </c>
      <c r="GA28">
        <v>2509</v>
      </c>
      <c r="GB28">
        <v>35</v>
      </c>
      <c r="GC28">
        <v>174</v>
      </c>
      <c r="GD28">
        <v>27</v>
      </c>
      <c r="GE28">
        <v>135</v>
      </c>
      <c r="GF28">
        <v>2</v>
      </c>
      <c r="GG28">
        <v>29</v>
      </c>
      <c r="GJ28">
        <v>87</v>
      </c>
    </row>
    <row r="29" spans="1:192" ht="15.75">
      <c r="A29" s="18" t="s">
        <v>303</v>
      </c>
      <c r="B29" t="s">
        <v>29</v>
      </c>
      <c r="C29">
        <v>2</v>
      </c>
      <c r="D29">
        <v>45</v>
      </c>
      <c r="E29">
        <v>16</v>
      </c>
      <c r="F29">
        <v>158</v>
      </c>
      <c r="I29">
        <v>193</v>
      </c>
      <c r="J29">
        <v>441</v>
      </c>
      <c r="K29" s="17">
        <v>211</v>
      </c>
      <c r="L29" s="17">
        <v>644</v>
      </c>
      <c r="M29" s="17">
        <v>3.052132701421801</v>
      </c>
      <c r="N29">
        <v>32</v>
      </c>
      <c r="O29">
        <v>172</v>
      </c>
      <c r="P29">
        <v>320</v>
      </c>
      <c r="Q29">
        <v>969</v>
      </c>
      <c r="R29">
        <v>74</v>
      </c>
      <c r="S29">
        <v>463</v>
      </c>
      <c r="T29">
        <v>12</v>
      </c>
      <c r="U29">
        <v>121</v>
      </c>
      <c r="V29">
        <v>16</v>
      </c>
      <c r="W29">
        <v>141</v>
      </c>
      <c r="X29">
        <v>9</v>
      </c>
      <c r="Y29">
        <v>145</v>
      </c>
      <c r="Z29">
        <v>6</v>
      </c>
      <c r="AA29">
        <v>66</v>
      </c>
      <c r="AB29" s="17">
        <v>469</v>
      </c>
      <c r="AC29" s="17">
        <v>2077</v>
      </c>
      <c r="AD29" s="17">
        <v>4.428571428571429</v>
      </c>
      <c r="AE29">
        <v>10</v>
      </c>
      <c r="AF29">
        <v>199</v>
      </c>
      <c r="AG29">
        <v>44</v>
      </c>
      <c r="AH29">
        <v>124</v>
      </c>
      <c r="AI29">
        <v>3</v>
      </c>
      <c r="AJ29">
        <v>284</v>
      </c>
      <c r="AK29">
        <v>8</v>
      </c>
      <c r="AL29">
        <v>107</v>
      </c>
      <c r="AM29" s="17">
        <v>65</v>
      </c>
      <c r="AN29" s="17">
        <v>714</v>
      </c>
      <c r="AO29" s="17">
        <v>10.984615384615385</v>
      </c>
      <c r="AP29">
        <v>1</v>
      </c>
      <c r="AQ29">
        <v>3</v>
      </c>
      <c r="AR29">
        <v>21</v>
      </c>
      <c r="AS29">
        <v>815</v>
      </c>
      <c r="AT29">
        <v>2</v>
      </c>
      <c r="AU29">
        <v>27</v>
      </c>
      <c r="AV29">
        <v>22</v>
      </c>
      <c r="AW29">
        <v>390</v>
      </c>
      <c r="BB29">
        <v>3</v>
      </c>
      <c r="BC29">
        <v>49</v>
      </c>
      <c r="BD29" s="17">
        <v>49</v>
      </c>
      <c r="BE29" s="17">
        <v>1284</v>
      </c>
      <c r="BF29" s="17">
        <v>26.20408163265306</v>
      </c>
      <c r="BG29">
        <v>5</v>
      </c>
      <c r="BH29">
        <v>7</v>
      </c>
      <c r="BI29">
        <v>25</v>
      </c>
      <c r="BJ29">
        <v>294</v>
      </c>
      <c r="BK29">
        <v>30</v>
      </c>
      <c r="BL29">
        <v>301</v>
      </c>
      <c r="BP29">
        <v>373</v>
      </c>
      <c r="BQ29">
        <v>10072</v>
      </c>
      <c r="BT29">
        <v>56</v>
      </c>
      <c r="BU29">
        <v>752</v>
      </c>
      <c r="BX29">
        <v>1</v>
      </c>
      <c r="BY29">
        <v>1336</v>
      </c>
      <c r="CF29">
        <v>10</v>
      </c>
      <c r="CG29">
        <v>183</v>
      </c>
      <c r="CP29">
        <v>16</v>
      </c>
      <c r="CQ29">
        <v>92</v>
      </c>
      <c r="CR29">
        <v>456</v>
      </c>
      <c r="CS29">
        <v>12435</v>
      </c>
      <c r="CU29">
        <v>7</v>
      </c>
      <c r="CV29">
        <v>120</v>
      </c>
      <c r="DC29">
        <v>49</v>
      </c>
      <c r="DD29">
        <v>1653</v>
      </c>
      <c r="DE29">
        <v>2</v>
      </c>
      <c r="DF29">
        <v>12</v>
      </c>
      <c r="DG29">
        <v>58</v>
      </c>
      <c r="DH29">
        <v>1785</v>
      </c>
      <c r="DI29" s="17">
        <v>486</v>
      </c>
      <c r="DJ29" s="17">
        <v>12736</v>
      </c>
      <c r="DK29" s="17">
        <v>26.20576131687243</v>
      </c>
      <c r="DO29">
        <v>11</v>
      </c>
      <c r="DP29">
        <v>43</v>
      </c>
      <c r="DQ29">
        <v>119</v>
      </c>
      <c r="DR29">
        <v>323</v>
      </c>
      <c r="DS29">
        <v>130</v>
      </c>
      <c r="DT29">
        <v>366</v>
      </c>
      <c r="DX29">
        <v>29</v>
      </c>
      <c r="DY29">
        <v>140</v>
      </c>
      <c r="DZ29">
        <v>58</v>
      </c>
      <c r="EA29">
        <v>112</v>
      </c>
      <c r="EB29">
        <v>87</v>
      </c>
      <c r="EC29">
        <v>252</v>
      </c>
      <c r="EE29">
        <v>16</v>
      </c>
      <c r="EF29">
        <v>130</v>
      </c>
      <c r="EI29">
        <v>10</v>
      </c>
      <c r="EJ29">
        <v>115</v>
      </c>
      <c r="EK29">
        <v>26</v>
      </c>
      <c r="EL29">
        <v>245</v>
      </c>
      <c r="ER29">
        <v>24</v>
      </c>
      <c r="ES29">
        <v>68</v>
      </c>
      <c r="ET29">
        <v>7</v>
      </c>
      <c r="EU29">
        <v>56</v>
      </c>
      <c r="EV29">
        <v>31</v>
      </c>
      <c r="EW29">
        <v>124</v>
      </c>
      <c r="EY29">
        <v>2</v>
      </c>
      <c r="EZ29">
        <v>3</v>
      </c>
      <c r="FC29">
        <v>12</v>
      </c>
      <c r="FD29">
        <v>182</v>
      </c>
      <c r="FE29">
        <v>369</v>
      </c>
      <c r="FF29">
        <v>2064</v>
      </c>
      <c r="FI29">
        <v>13</v>
      </c>
      <c r="FJ29">
        <v>132</v>
      </c>
      <c r="FK29">
        <v>13</v>
      </c>
      <c r="FL29">
        <v>77</v>
      </c>
      <c r="FM29">
        <v>409</v>
      </c>
      <c r="FN29">
        <v>2458</v>
      </c>
      <c r="FO29" s="17">
        <v>683</v>
      </c>
      <c r="FP29" s="17">
        <v>3445</v>
      </c>
      <c r="FQ29" s="17">
        <v>5.043923865300147</v>
      </c>
      <c r="FT29">
        <v>108</v>
      </c>
      <c r="FU29">
        <v>899</v>
      </c>
      <c r="FV29">
        <v>1</v>
      </c>
      <c r="FW29">
        <v>5</v>
      </c>
      <c r="FX29">
        <v>105</v>
      </c>
      <c r="FY29">
        <v>560</v>
      </c>
      <c r="FZ29">
        <v>703</v>
      </c>
      <c r="GA29">
        <v>2078</v>
      </c>
      <c r="GB29">
        <v>28</v>
      </c>
      <c r="GC29">
        <v>148</v>
      </c>
      <c r="GD29">
        <v>12</v>
      </c>
      <c r="GE29">
        <v>83</v>
      </c>
      <c r="GF29">
        <v>3</v>
      </c>
      <c r="GG29">
        <v>18</v>
      </c>
      <c r="GJ29">
        <v>130</v>
      </c>
    </row>
    <row r="30" spans="1:192" ht="15.75">
      <c r="A30" s="18" t="s">
        <v>304</v>
      </c>
      <c r="B30" t="s">
        <v>30</v>
      </c>
      <c r="E30">
        <v>17</v>
      </c>
      <c r="F30">
        <v>125</v>
      </c>
      <c r="I30">
        <v>159</v>
      </c>
      <c r="J30">
        <v>731</v>
      </c>
      <c r="K30" s="17">
        <v>176</v>
      </c>
      <c r="L30" s="17">
        <v>856</v>
      </c>
      <c r="M30" s="17">
        <v>4.863636363636363</v>
      </c>
      <c r="N30">
        <v>13</v>
      </c>
      <c r="O30">
        <v>58</v>
      </c>
      <c r="P30">
        <v>297</v>
      </c>
      <c r="Q30">
        <v>1390</v>
      </c>
      <c r="R30">
        <v>66</v>
      </c>
      <c r="S30">
        <v>312</v>
      </c>
      <c r="T30">
        <v>6</v>
      </c>
      <c r="U30">
        <v>34</v>
      </c>
      <c r="V30">
        <v>1</v>
      </c>
      <c r="W30">
        <v>9</v>
      </c>
      <c r="X30">
        <v>1</v>
      </c>
      <c r="Y30">
        <v>6</v>
      </c>
      <c r="Z30">
        <v>11</v>
      </c>
      <c r="AA30">
        <v>59</v>
      </c>
      <c r="AB30" s="17">
        <v>395</v>
      </c>
      <c r="AC30" s="17">
        <v>1868</v>
      </c>
      <c r="AD30" s="17">
        <v>4.729113924050633</v>
      </c>
      <c r="AG30">
        <v>11</v>
      </c>
      <c r="AH30">
        <v>47</v>
      </c>
      <c r="AM30" s="17">
        <v>11</v>
      </c>
      <c r="AN30" s="17">
        <v>47</v>
      </c>
      <c r="AO30" s="17">
        <v>4.2727272727272725</v>
      </c>
      <c r="AR30">
        <v>32</v>
      </c>
      <c r="AS30">
        <v>994</v>
      </c>
      <c r="AT30">
        <v>17</v>
      </c>
      <c r="AU30">
        <v>63</v>
      </c>
      <c r="AV30">
        <v>29</v>
      </c>
      <c r="AW30">
        <v>315</v>
      </c>
      <c r="BB30">
        <v>3</v>
      </c>
      <c r="BC30">
        <v>53</v>
      </c>
      <c r="BD30" s="17">
        <v>81</v>
      </c>
      <c r="BE30" s="17">
        <v>1425</v>
      </c>
      <c r="BF30" s="17">
        <v>17.59259259259259</v>
      </c>
      <c r="BG30">
        <v>8</v>
      </c>
      <c r="BH30">
        <v>61</v>
      </c>
      <c r="BK30">
        <v>8</v>
      </c>
      <c r="BL30">
        <v>61</v>
      </c>
      <c r="BP30">
        <v>895</v>
      </c>
      <c r="BQ30">
        <v>6199</v>
      </c>
      <c r="BR30">
        <v>2</v>
      </c>
      <c r="BS30">
        <v>418</v>
      </c>
      <c r="BT30">
        <v>65</v>
      </c>
      <c r="BU30">
        <v>543</v>
      </c>
      <c r="CF30">
        <v>4</v>
      </c>
      <c r="CG30">
        <v>68</v>
      </c>
      <c r="CP30">
        <v>14</v>
      </c>
      <c r="CQ30">
        <v>83</v>
      </c>
      <c r="CR30">
        <v>980</v>
      </c>
      <c r="CS30">
        <v>7311</v>
      </c>
      <c r="CU30">
        <v>4</v>
      </c>
      <c r="CV30">
        <v>54</v>
      </c>
      <c r="DC30">
        <v>1</v>
      </c>
      <c r="DD30">
        <v>63</v>
      </c>
      <c r="DE30">
        <v>2</v>
      </c>
      <c r="DF30">
        <v>16</v>
      </c>
      <c r="DG30">
        <v>7</v>
      </c>
      <c r="DH30">
        <v>133</v>
      </c>
      <c r="DI30" s="17">
        <v>988</v>
      </c>
      <c r="DJ30" s="17">
        <v>7372</v>
      </c>
      <c r="DK30" s="17">
        <v>7.461538461538462</v>
      </c>
      <c r="DO30">
        <v>1</v>
      </c>
      <c r="DP30">
        <v>6</v>
      </c>
      <c r="DS30">
        <v>1</v>
      </c>
      <c r="DT30">
        <v>6</v>
      </c>
      <c r="DX30">
        <v>41</v>
      </c>
      <c r="DY30">
        <v>192</v>
      </c>
      <c r="DZ30">
        <v>43</v>
      </c>
      <c r="EA30">
        <v>151</v>
      </c>
      <c r="EB30">
        <v>84</v>
      </c>
      <c r="EC30">
        <v>343</v>
      </c>
      <c r="EE30">
        <v>1</v>
      </c>
      <c r="EF30">
        <v>8</v>
      </c>
      <c r="EI30">
        <v>25</v>
      </c>
      <c r="EJ30">
        <v>249</v>
      </c>
      <c r="EK30">
        <v>26</v>
      </c>
      <c r="EL30">
        <v>257</v>
      </c>
      <c r="EV30">
        <v>0</v>
      </c>
      <c r="EW30">
        <v>0</v>
      </c>
      <c r="EY30">
        <v>11</v>
      </c>
      <c r="EZ30">
        <v>47</v>
      </c>
      <c r="FE30">
        <v>361</v>
      </c>
      <c r="FF30">
        <v>1648</v>
      </c>
      <c r="FI30">
        <v>1</v>
      </c>
      <c r="FJ30">
        <v>11</v>
      </c>
      <c r="FM30">
        <v>373</v>
      </c>
      <c r="FN30">
        <v>1706</v>
      </c>
      <c r="FO30" s="17">
        <v>484</v>
      </c>
      <c r="FP30" s="17">
        <v>2312</v>
      </c>
      <c r="FQ30" s="17">
        <v>4.776859504132231</v>
      </c>
      <c r="FT30">
        <v>66</v>
      </c>
      <c r="FU30">
        <v>280</v>
      </c>
      <c r="FX30">
        <v>237</v>
      </c>
      <c r="FY30">
        <v>1170</v>
      </c>
      <c r="FZ30">
        <v>401</v>
      </c>
      <c r="GA30">
        <v>1502</v>
      </c>
      <c r="GB30">
        <v>44</v>
      </c>
      <c r="GC30">
        <v>181</v>
      </c>
      <c r="GD30">
        <v>8</v>
      </c>
      <c r="GE30">
        <v>46</v>
      </c>
      <c r="GJ30">
        <v>213</v>
      </c>
    </row>
    <row r="31" spans="1:192" ht="15.75">
      <c r="A31" s="18" t="s">
        <v>305</v>
      </c>
      <c r="B31" t="s">
        <v>31</v>
      </c>
      <c r="C31">
        <v>1</v>
      </c>
      <c r="D31">
        <v>63</v>
      </c>
      <c r="E31">
        <v>16</v>
      </c>
      <c r="F31">
        <v>216</v>
      </c>
      <c r="I31">
        <v>138</v>
      </c>
      <c r="J31">
        <v>1012</v>
      </c>
      <c r="K31" s="17">
        <v>155</v>
      </c>
      <c r="L31" s="17">
        <v>1291</v>
      </c>
      <c r="M31" s="17">
        <v>8.329032258064515</v>
      </c>
      <c r="N31">
        <v>49</v>
      </c>
      <c r="O31">
        <v>417</v>
      </c>
      <c r="P31">
        <v>415</v>
      </c>
      <c r="Q31">
        <v>2927</v>
      </c>
      <c r="R31">
        <v>111</v>
      </c>
      <c r="S31">
        <v>720</v>
      </c>
      <c r="T31">
        <v>9</v>
      </c>
      <c r="U31">
        <v>92</v>
      </c>
      <c r="V31">
        <v>11</v>
      </c>
      <c r="W31">
        <v>195</v>
      </c>
      <c r="X31">
        <v>6</v>
      </c>
      <c r="Y31">
        <v>56</v>
      </c>
      <c r="Z31">
        <v>16</v>
      </c>
      <c r="AA31">
        <v>169</v>
      </c>
      <c r="AB31" s="17">
        <v>617</v>
      </c>
      <c r="AC31" s="17">
        <v>4576</v>
      </c>
      <c r="AD31" s="17">
        <v>7.416531604538087</v>
      </c>
      <c r="AE31">
        <v>16</v>
      </c>
      <c r="AF31">
        <v>224</v>
      </c>
      <c r="AG31">
        <v>141</v>
      </c>
      <c r="AH31">
        <v>958</v>
      </c>
      <c r="AK31">
        <v>2</v>
      </c>
      <c r="AL31">
        <v>21</v>
      </c>
      <c r="AM31" s="17">
        <v>159</v>
      </c>
      <c r="AN31" s="17">
        <v>1203</v>
      </c>
      <c r="AO31" s="17">
        <v>7.566037735849057</v>
      </c>
      <c r="AR31">
        <v>22</v>
      </c>
      <c r="AS31">
        <v>624</v>
      </c>
      <c r="AT31">
        <v>20</v>
      </c>
      <c r="AU31">
        <v>131</v>
      </c>
      <c r="AV31">
        <v>29</v>
      </c>
      <c r="AW31">
        <v>593</v>
      </c>
      <c r="BD31" s="17">
        <v>71</v>
      </c>
      <c r="BE31" s="17">
        <v>1348</v>
      </c>
      <c r="BF31" s="17">
        <v>18.985915492957748</v>
      </c>
      <c r="BG31">
        <v>1</v>
      </c>
      <c r="BH31">
        <v>12</v>
      </c>
      <c r="BI31">
        <v>33</v>
      </c>
      <c r="BJ31">
        <v>321</v>
      </c>
      <c r="BK31">
        <v>34</v>
      </c>
      <c r="BL31">
        <v>333</v>
      </c>
      <c r="BN31">
        <v>1</v>
      </c>
      <c r="BO31">
        <v>14</v>
      </c>
      <c r="BP31">
        <v>979</v>
      </c>
      <c r="BQ31">
        <v>10396</v>
      </c>
      <c r="BT31">
        <v>48</v>
      </c>
      <c r="BU31">
        <v>697</v>
      </c>
      <c r="CF31">
        <v>4</v>
      </c>
      <c r="CG31">
        <v>62</v>
      </c>
      <c r="CP31">
        <v>20</v>
      </c>
      <c r="CQ31">
        <v>211</v>
      </c>
      <c r="CR31">
        <v>1052</v>
      </c>
      <c r="CS31">
        <v>11380</v>
      </c>
      <c r="CU31">
        <v>3</v>
      </c>
      <c r="CV31">
        <v>116</v>
      </c>
      <c r="DC31">
        <v>2</v>
      </c>
      <c r="DD31">
        <v>31</v>
      </c>
      <c r="DE31">
        <v>4</v>
      </c>
      <c r="DF31">
        <v>80</v>
      </c>
      <c r="DG31">
        <v>9</v>
      </c>
      <c r="DH31">
        <v>227</v>
      </c>
      <c r="DI31" s="17">
        <v>1086</v>
      </c>
      <c r="DJ31" s="17">
        <v>11713</v>
      </c>
      <c r="DK31" s="17">
        <v>10.785451197053407</v>
      </c>
      <c r="DO31">
        <v>3</v>
      </c>
      <c r="DP31">
        <v>21</v>
      </c>
      <c r="DS31">
        <v>3</v>
      </c>
      <c r="DT31">
        <v>21</v>
      </c>
      <c r="DV31">
        <v>46</v>
      </c>
      <c r="DW31">
        <v>1219</v>
      </c>
      <c r="DX31">
        <v>47</v>
      </c>
      <c r="DY31">
        <v>323</v>
      </c>
      <c r="DZ31">
        <v>390</v>
      </c>
      <c r="EA31">
        <v>1087</v>
      </c>
      <c r="EB31">
        <v>483</v>
      </c>
      <c r="EC31">
        <v>2629</v>
      </c>
      <c r="EE31">
        <v>6</v>
      </c>
      <c r="EF31">
        <v>61</v>
      </c>
      <c r="EI31">
        <v>25</v>
      </c>
      <c r="EJ31">
        <v>590</v>
      </c>
      <c r="EK31">
        <v>31</v>
      </c>
      <c r="EL31">
        <v>651</v>
      </c>
      <c r="EP31">
        <v>11</v>
      </c>
      <c r="EQ31">
        <v>74</v>
      </c>
      <c r="ER31">
        <v>26</v>
      </c>
      <c r="ES31">
        <v>223</v>
      </c>
      <c r="ET31">
        <v>6</v>
      </c>
      <c r="EU31">
        <v>67</v>
      </c>
      <c r="EV31">
        <v>43</v>
      </c>
      <c r="EW31">
        <v>364</v>
      </c>
      <c r="EY31">
        <v>3</v>
      </c>
      <c r="EZ31">
        <v>14</v>
      </c>
      <c r="FA31">
        <v>1</v>
      </c>
      <c r="FB31">
        <v>7</v>
      </c>
      <c r="FE31">
        <v>430</v>
      </c>
      <c r="FF31">
        <v>3137</v>
      </c>
      <c r="FI31">
        <v>3</v>
      </c>
      <c r="FJ31">
        <v>20</v>
      </c>
      <c r="FK31">
        <v>7</v>
      </c>
      <c r="FL31">
        <v>20</v>
      </c>
      <c r="FM31">
        <v>444</v>
      </c>
      <c r="FN31">
        <v>3198</v>
      </c>
      <c r="FO31" s="17">
        <v>1004</v>
      </c>
      <c r="FP31" s="17">
        <v>6863</v>
      </c>
      <c r="FQ31" s="17">
        <v>6.835657370517929</v>
      </c>
      <c r="FT31">
        <v>47</v>
      </c>
      <c r="FU31">
        <v>622</v>
      </c>
      <c r="FV31">
        <v>22</v>
      </c>
      <c r="FW31">
        <v>135</v>
      </c>
      <c r="FX31">
        <v>113</v>
      </c>
      <c r="FY31">
        <v>867</v>
      </c>
      <c r="FZ31">
        <v>804</v>
      </c>
      <c r="GA31">
        <v>3997</v>
      </c>
      <c r="GB31">
        <v>36</v>
      </c>
      <c r="GC31">
        <v>131</v>
      </c>
      <c r="GD31">
        <v>13</v>
      </c>
      <c r="GE31">
        <v>84</v>
      </c>
      <c r="GF31">
        <v>4</v>
      </c>
      <c r="GG31">
        <v>39</v>
      </c>
      <c r="GJ31">
        <v>210</v>
      </c>
    </row>
    <row r="32" spans="1:192" ht="15.75">
      <c r="A32" s="18" t="s">
        <v>306</v>
      </c>
      <c r="B32" t="s">
        <v>32</v>
      </c>
      <c r="C32">
        <v>4</v>
      </c>
      <c r="D32">
        <v>29</v>
      </c>
      <c r="E32">
        <v>12</v>
      </c>
      <c r="F32">
        <v>60</v>
      </c>
      <c r="I32">
        <v>33</v>
      </c>
      <c r="J32">
        <v>149</v>
      </c>
      <c r="K32" s="17">
        <v>49</v>
      </c>
      <c r="L32" s="17">
        <v>238</v>
      </c>
      <c r="M32" s="17">
        <v>4.857142857142857</v>
      </c>
      <c r="N32">
        <v>8</v>
      </c>
      <c r="O32">
        <v>69</v>
      </c>
      <c r="P32">
        <v>63</v>
      </c>
      <c r="Q32">
        <v>343</v>
      </c>
      <c r="R32">
        <v>37</v>
      </c>
      <c r="S32">
        <v>189</v>
      </c>
      <c r="T32">
        <v>8</v>
      </c>
      <c r="U32">
        <v>55</v>
      </c>
      <c r="V32">
        <v>6</v>
      </c>
      <c r="W32">
        <v>69</v>
      </c>
      <c r="X32">
        <v>3</v>
      </c>
      <c r="Y32">
        <v>18</v>
      </c>
      <c r="Z32">
        <v>12</v>
      </c>
      <c r="AA32">
        <v>92</v>
      </c>
      <c r="AB32" s="17">
        <v>137</v>
      </c>
      <c r="AC32" s="17">
        <v>835</v>
      </c>
      <c r="AD32" s="17">
        <v>6.094890510948905</v>
      </c>
      <c r="AE32">
        <v>10</v>
      </c>
      <c r="AF32">
        <v>139</v>
      </c>
      <c r="AG32">
        <v>33</v>
      </c>
      <c r="AH32">
        <v>127</v>
      </c>
      <c r="AI32">
        <v>10</v>
      </c>
      <c r="AJ32">
        <v>17</v>
      </c>
      <c r="AK32">
        <v>4</v>
      </c>
      <c r="AL32">
        <v>22</v>
      </c>
      <c r="AM32" s="17">
        <v>57</v>
      </c>
      <c r="AN32" s="17">
        <v>305</v>
      </c>
      <c r="AO32" s="17">
        <v>5.350877192982456</v>
      </c>
      <c r="AP32">
        <v>2</v>
      </c>
      <c r="AQ32">
        <v>20</v>
      </c>
      <c r="AR32">
        <v>13</v>
      </c>
      <c r="AS32">
        <v>304</v>
      </c>
      <c r="AT32">
        <v>3</v>
      </c>
      <c r="AU32">
        <v>18</v>
      </c>
      <c r="AV32">
        <v>12</v>
      </c>
      <c r="AW32">
        <v>136</v>
      </c>
      <c r="BB32">
        <v>1</v>
      </c>
      <c r="BC32">
        <v>6</v>
      </c>
      <c r="BD32" s="17">
        <v>31</v>
      </c>
      <c r="BE32" s="17">
        <v>484</v>
      </c>
      <c r="BF32" s="17">
        <v>15.612903225806452</v>
      </c>
      <c r="BG32">
        <v>2</v>
      </c>
      <c r="BH32">
        <v>18</v>
      </c>
      <c r="BI32">
        <v>49</v>
      </c>
      <c r="BJ32">
        <v>191</v>
      </c>
      <c r="BK32">
        <v>51</v>
      </c>
      <c r="BL32">
        <v>209</v>
      </c>
      <c r="BP32">
        <v>309</v>
      </c>
      <c r="BQ32">
        <v>2831</v>
      </c>
      <c r="BT32">
        <v>31</v>
      </c>
      <c r="BU32">
        <v>214</v>
      </c>
      <c r="CF32">
        <v>4</v>
      </c>
      <c r="CG32">
        <v>54</v>
      </c>
      <c r="CP32">
        <v>10</v>
      </c>
      <c r="CQ32">
        <v>40</v>
      </c>
      <c r="CR32">
        <v>354</v>
      </c>
      <c r="CS32">
        <v>3139</v>
      </c>
      <c r="CU32">
        <v>5</v>
      </c>
      <c r="CV32">
        <v>227</v>
      </c>
      <c r="DC32">
        <v>61</v>
      </c>
      <c r="DD32">
        <v>976</v>
      </c>
      <c r="DE32">
        <v>1</v>
      </c>
      <c r="DF32">
        <v>34</v>
      </c>
      <c r="DG32">
        <v>67</v>
      </c>
      <c r="DH32">
        <v>1237</v>
      </c>
      <c r="DI32" s="17">
        <v>405</v>
      </c>
      <c r="DJ32" s="17">
        <v>3348</v>
      </c>
      <c r="DK32" s="17">
        <v>8.266666666666667</v>
      </c>
      <c r="DS32">
        <v>0</v>
      </c>
      <c r="DT32">
        <v>0</v>
      </c>
      <c r="DX32">
        <v>14</v>
      </c>
      <c r="DY32">
        <v>94</v>
      </c>
      <c r="DZ32">
        <v>4</v>
      </c>
      <c r="EA32">
        <v>40</v>
      </c>
      <c r="EB32">
        <v>18</v>
      </c>
      <c r="EC32">
        <v>134</v>
      </c>
      <c r="EE32">
        <v>1</v>
      </c>
      <c r="EF32">
        <v>2</v>
      </c>
      <c r="EI32">
        <v>6</v>
      </c>
      <c r="EJ32">
        <v>49</v>
      </c>
      <c r="EK32">
        <v>7</v>
      </c>
      <c r="EL32">
        <v>51</v>
      </c>
      <c r="EN32">
        <v>1</v>
      </c>
      <c r="EO32">
        <v>3</v>
      </c>
      <c r="EP32">
        <v>2</v>
      </c>
      <c r="EQ32">
        <v>11</v>
      </c>
      <c r="ER32">
        <v>6</v>
      </c>
      <c r="ES32">
        <v>52</v>
      </c>
      <c r="ET32">
        <v>3</v>
      </c>
      <c r="EU32">
        <v>40</v>
      </c>
      <c r="EV32">
        <v>12</v>
      </c>
      <c r="EW32">
        <v>106</v>
      </c>
      <c r="EY32">
        <v>102</v>
      </c>
      <c r="EZ32">
        <v>195</v>
      </c>
      <c r="FA32">
        <v>1</v>
      </c>
      <c r="FB32">
        <v>9</v>
      </c>
      <c r="FC32">
        <v>45</v>
      </c>
      <c r="FD32">
        <v>94</v>
      </c>
      <c r="FE32">
        <v>114</v>
      </c>
      <c r="FF32">
        <v>551</v>
      </c>
      <c r="FG32">
        <v>256</v>
      </c>
      <c r="FH32">
        <v>926</v>
      </c>
      <c r="FI32">
        <v>63</v>
      </c>
      <c r="FJ32">
        <v>205</v>
      </c>
      <c r="FK32">
        <v>1</v>
      </c>
      <c r="FL32">
        <v>11</v>
      </c>
      <c r="FM32">
        <v>582</v>
      </c>
      <c r="FN32">
        <v>1991</v>
      </c>
      <c r="FO32" s="17">
        <v>619</v>
      </c>
      <c r="FP32" s="17">
        <v>2282</v>
      </c>
      <c r="FQ32" s="17">
        <v>3.6865912762520194</v>
      </c>
      <c r="FT32">
        <v>75</v>
      </c>
      <c r="FU32">
        <v>593</v>
      </c>
      <c r="FX32">
        <v>36</v>
      </c>
      <c r="FY32">
        <v>306</v>
      </c>
      <c r="FZ32">
        <v>142</v>
      </c>
      <c r="GA32">
        <v>540</v>
      </c>
      <c r="GB32">
        <v>21</v>
      </c>
      <c r="GC32">
        <v>111</v>
      </c>
      <c r="GD32">
        <v>7</v>
      </c>
      <c r="GE32">
        <v>33</v>
      </c>
      <c r="GF32">
        <v>2</v>
      </c>
      <c r="GG32">
        <v>25</v>
      </c>
      <c r="GJ32">
        <v>18</v>
      </c>
    </row>
    <row r="33" spans="1:192" ht="15.75">
      <c r="A33" s="18" t="s">
        <v>307</v>
      </c>
      <c r="B33" t="s">
        <v>33</v>
      </c>
      <c r="E33">
        <v>9</v>
      </c>
      <c r="F33">
        <v>280</v>
      </c>
      <c r="I33">
        <v>85</v>
      </c>
      <c r="J33">
        <v>1028</v>
      </c>
      <c r="K33" s="17">
        <v>94</v>
      </c>
      <c r="L33" s="17">
        <v>1308</v>
      </c>
      <c r="M33" s="17">
        <v>13.914893617021276</v>
      </c>
      <c r="N33">
        <v>14</v>
      </c>
      <c r="O33">
        <v>206</v>
      </c>
      <c r="P33">
        <v>115</v>
      </c>
      <c r="Q33">
        <v>2087</v>
      </c>
      <c r="R33">
        <v>80</v>
      </c>
      <c r="S33">
        <v>1932</v>
      </c>
      <c r="T33">
        <v>20</v>
      </c>
      <c r="U33">
        <v>483</v>
      </c>
      <c r="V33">
        <v>6</v>
      </c>
      <c r="W33">
        <v>145</v>
      </c>
      <c r="Z33">
        <v>37</v>
      </c>
      <c r="AA33">
        <v>893</v>
      </c>
      <c r="AB33" s="17">
        <v>272</v>
      </c>
      <c r="AC33" s="17">
        <v>5746</v>
      </c>
      <c r="AD33" s="17">
        <v>21.125</v>
      </c>
      <c r="AE33">
        <v>12</v>
      </c>
      <c r="AF33">
        <v>470</v>
      </c>
      <c r="AG33">
        <v>57</v>
      </c>
      <c r="AH33">
        <v>1377</v>
      </c>
      <c r="AM33" s="17">
        <v>69</v>
      </c>
      <c r="AN33" s="17">
        <v>1847</v>
      </c>
      <c r="AO33" s="17">
        <v>26.768115942028984</v>
      </c>
      <c r="AR33">
        <v>22</v>
      </c>
      <c r="AS33">
        <v>950</v>
      </c>
      <c r="AT33">
        <v>71</v>
      </c>
      <c r="AU33">
        <v>1143</v>
      </c>
      <c r="AV33">
        <v>85</v>
      </c>
      <c r="AW33">
        <v>1543</v>
      </c>
      <c r="BD33" s="17">
        <v>178</v>
      </c>
      <c r="BE33" s="17">
        <v>3636</v>
      </c>
      <c r="BF33" s="17">
        <v>20.426966292134832</v>
      </c>
      <c r="BG33">
        <v>8</v>
      </c>
      <c r="BH33">
        <v>203</v>
      </c>
      <c r="BI33">
        <v>86</v>
      </c>
      <c r="BJ33">
        <v>2564</v>
      </c>
      <c r="BK33">
        <v>94</v>
      </c>
      <c r="BL33">
        <v>2767</v>
      </c>
      <c r="BP33">
        <v>541</v>
      </c>
      <c r="BQ33">
        <v>8127</v>
      </c>
      <c r="BT33">
        <v>33</v>
      </c>
      <c r="BU33">
        <v>299</v>
      </c>
      <c r="BX33">
        <v>1</v>
      </c>
      <c r="BY33">
        <v>600</v>
      </c>
      <c r="CF33">
        <v>10</v>
      </c>
      <c r="CG33">
        <v>241</v>
      </c>
      <c r="CP33">
        <v>11</v>
      </c>
      <c r="CQ33">
        <v>208</v>
      </c>
      <c r="CR33">
        <v>596</v>
      </c>
      <c r="CS33">
        <v>9475</v>
      </c>
      <c r="CU33">
        <v>9</v>
      </c>
      <c r="CV33">
        <v>628</v>
      </c>
      <c r="DC33">
        <v>2</v>
      </c>
      <c r="DD33">
        <v>118</v>
      </c>
      <c r="DE33">
        <v>10</v>
      </c>
      <c r="DF33">
        <v>442</v>
      </c>
      <c r="DG33">
        <v>21</v>
      </c>
      <c r="DH33">
        <v>1188</v>
      </c>
      <c r="DI33" s="17">
        <v>690</v>
      </c>
      <c r="DJ33" s="17">
        <v>12242</v>
      </c>
      <c r="DK33" s="17">
        <v>17.742028985507247</v>
      </c>
      <c r="DO33">
        <v>4</v>
      </c>
      <c r="DP33">
        <v>36</v>
      </c>
      <c r="DS33">
        <v>4</v>
      </c>
      <c r="DT33">
        <v>36</v>
      </c>
      <c r="DX33">
        <v>86</v>
      </c>
      <c r="DY33">
        <v>1385</v>
      </c>
      <c r="DZ33">
        <v>3</v>
      </c>
      <c r="EA33">
        <v>38</v>
      </c>
      <c r="EB33">
        <v>89</v>
      </c>
      <c r="EC33">
        <v>1423</v>
      </c>
      <c r="EE33">
        <v>2</v>
      </c>
      <c r="EF33">
        <v>48</v>
      </c>
      <c r="EK33">
        <v>2</v>
      </c>
      <c r="EL33">
        <v>48</v>
      </c>
      <c r="ET33">
        <v>7</v>
      </c>
      <c r="EU33">
        <v>127</v>
      </c>
      <c r="EV33">
        <v>7</v>
      </c>
      <c r="EW33">
        <v>127</v>
      </c>
      <c r="EY33">
        <v>8</v>
      </c>
      <c r="EZ33">
        <v>129</v>
      </c>
      <c r="FE33">
        <v>178</v>
      </c>
      <c r="FF33">
        <v>3231</v>
      </c>
      <c r="FG33">
        <v>56</v>
      </c>
      <c r="FH33">
        <v>902</v>
      </c>
      <c r="FI33">
        <v>19</v>
      </c>
      <c r="FJ33">
        <v>502</v>
      </c>
      <c r="FM33">
        <v>261</v>
      </c>
      <c r="FN33">
        <v>4764</v>
      </c>
      <c r="FO33" s="17">
        <v>363</v>
      </c>
      <c r="FP33" s="17">
        <v>6398</v>
      </c>
      <c r="FQ33" s="17">
        <v>17.62534435261708</v>
      </c>
      <c r="FT33">
        <v>174</v>
      </c>
      <c r="FU33">
        <v>2984</v>
      </c>
      <c r="FV33">
        <v>8</v>
      </c>
      <c r="FW33">
        <v>137</v>
      </c>
      <c r="FX33">
        <v>115</v>
      </c>
      <c r="FY33">
        <v>2087</v>
      </c>
      <c r="FZ33">
        <v>631</v>
      </c>
      <c r="GA33">
        <v>14607</v>
      </c>
      <c r="GB33">
        <v>77</v>
      </c>
      <c r="GC33">
        <v>1578</v>
      </c>
      <c r="GD33">
        <v>14</v>
      </c>
      <c r="GE33">
        <v>438</v>
      </c>
      <c r="GF33">
        <v>2</v>
      </c>
      <c r="GG33">
        <v>42</v>
      </c>
      <c r="GJ33">
        <v>125</v>
      </c>
    </row>
    <row r="34" spans="1:192" ht="15.75">
      <c r="A34" s="18" t="s">
        <v>308</v>
      </c>
      <c r="B34" t="s">
        <v>34</v>
      </c>
      <c r="E34">
        <v>12</v>
      </c>
      <c r="F34">
        <v>131</v>
      </c>
      <c r="I34">
        <v>170</v>
      </c>
      <c r="J34">
        <v>558</v>
      </c>
      <c r="K34" s="17">
        <v>182</v>
      </c>
      <c r="L34" s="17">
        <v>689</v>
      </c>
      <c r="M34" s="17">
        <v>3.7857142857142856</v>
      </c>
      <c r="N34">
        <v>25</v>
      </c>
      <c r="O34">
        <v>193</v>
      </c>
      <c r="P34">
        <v>325</v>
      </c>
      <c r="Q34">
        <v>1146</v>
      </c>
      <c r="R34">
        <v>44</v>
      </c>
      <c r="S34">
        <v>333</v>
      </c>
      <c r="T34">
        <v>14</v>
      </c>
      <c r="U34">
        <v>237</v>
      </c>
      <c r="V34">
        <v>10</v>
      </c>
      <c r="W34">
        <v>74</v>
      </c>
      <c r="X34">
        <v>7</v>
      </c>
      <c r="Y34">
        <v>85</v>
      </c>
      <c r="Z34">
        <v>17</v>
      </c>
      <c r="AA34">
        <v>192</v>
      </c>
      <c r="AB34" s="17">
        <v>442</v>
      </c>
      <c r="AC34" s="17">
        <v>2260</v>
      </c>
      <c r="AD34" s="17">
        <v>5.113122171945701</v>
      </c>
      <c r="AE34">
        <v>1</v>
      </c>
      <c r="AF34">
        <v>5</v>
      </c>
      <c r="AG34">
        <v>129</v>
      </c>
      <c r="AH34">
        <v>459</v>
      </c>
      <c r="AI34">
        <v>1</v>
      </c>
      <c r="AJ34">
        <v>105</v>
      </c>
      <c r="AK34">
        <v>1</v>
      </c>
      <c r="AL34">
        <v>14</v>
      </c>
      <c r="AM34" s="17">
        <v>132</v>
      </c>
      <c r="AN34" s="17">
        <v>583</v>
      </c>
      <c r="AO34" s="17">
        <v>4.416666666666667</v>
      </c>
      <c r="AP34">
        <v>1</v>
      </c>
      <c r="AQ34">
        <v>34</v>
      </c>
      <c r="AR34">
        <v>21</v>
      </c>
      <c r="AS34">
        <v>583</v>
      </c>
      <c r="AT34">
        <v>43</v>
      </c>
      <c r="AU34">
        <v>334</v>
      </c>
      <c r="AV34">
        <v>22</v>
      </c>
      <c r="AW34">
        <v>194</v>
      </c>
      <c r="BB34">
        <v>2</v>
      </c>
      <c r="BC34">
        <v>8</v>
      </c>
      <c r="BD34" s="17">
        <v>89</v>
      </c>
      <c r="BE34" s="17">
        <v>1153</v>
      </c>
      <c r="BF34" s="17">
        <v>12.955056179775282</v>
      </c>
      <c r="BK34">
        <v>0</v>
      </c>
      <c r="BL34">
        <v>0</v>
      </c>
      <c r="BP34">
        <v>568</v>
      </c>
      <c r="BQ34">
        <v>3495</v>
      </c>
      <c r="BT34">
        <v>35</v>
      </c>
      <c r="BU34">
        <v>454</v>
      </c>
      <c r="CF34">
        <v>8</v>
      </c>
      <c r="CG34">
        <v>115</v>
      </c>
      <c r="CP34">
        <v>8</v>
      </c>
      <c r="CQ34">
        <v>47</v>
      </c>
      <c r="CR34">
        <v>619</v>
      </c>
      <c r="CS34">
        <v>4111</v>
      </c>
      <c r="CU34">
        <v>2</v>
      </c>
      <c r="CV34">
        <v>33</v>
      </c>
      <c r="DC34">
        <v>26</v>
      </c>
      <c r="DD34">
        <v>522</v>
      </c>
      <c r="DE34">
        <v>24</v>
      </c>
      <c r="DF34">
        <v>99</v>
      </c>
      <c r="DG34">
        <v>52</v>
      </c>
      <c r="DH34">
        <v>654</v>
      </c>
      <c r="DI34" s="17">
        <v>619</v>
      </c>
      <c r="DJ34" s="17">
        <v>4111</v>
      </c>
      <c r="DK34" s="17">
        <v>6.641357027463651</v>
      </c>
      <c r="DO34">
        <v>1</v>
      </c>
      <c r="DP34">
        <v>11</v>
      </c>
      <c r="DS34">
        <v>1</v>
      </c>
      <c r="DT34">
        <v>11</v>
      </c>
      <c r="DX34">
        <v>36</v>
      </c>
      <c r="DY34">
        <v>224</v>
      </c>
      <c r="DZ34">
        <v>205</v>
      </c>
      <c r="EA34">
        <v>584</v>
      </c>
      <c r="EB34">
        <v>241</v>
      </c>
      <c r="EC34">
        <v>808</v>
      </c>
      <c r="EI34">
        <v>7</v>
      </c>
      <c r="EJ34">
        <v>68</v>
      </c>
      <c r="EK34">
        <v>7</v>
      </c>
      <c r="EL34">
        <v>68</v>
      </c>
      <c r="ER34">
        <v>22</v>
      </c>
      <c r="ES34">
        <v>87</v>
      </c>
      <c r="ET34">
        <v>4</v>
      </c>
      <c r="EU34">
        <v>40</v>
      </c>
      <c r="EV34">
        <v>26</v>
      </c>
      <c r="EW34">
        <v>127</v>
      </c>
      <c r="EY34">
        <v>3</v>
      </c>
      <c r="EZ34">
        <v>31</v>
      </c>
      <c r="FC34">
        <v>2</v>
      </c>
      <c r="FD34">
        <v>7</v>
      </c>
      <c r="FE34">
        <v>349</v>
      </c>
      <c r="FF34">
        <v>1792</v>
      </c>
      <c r="FG34">
        <v>490</v>
      </c>
      <c r="FH34">
        <v>2010</v>
      </c>
      <c r="FI34">
        <v>14</v>
      </c>
      <c r="FJ34">
        <v>58</v>
      </c>
      <c r="FK34">
        <v>30</v>
      </c>
      <c r="FL34">
        <v>92</v>
      </c>
      <c r="FM34">
        <v>888</v>
      </c>
      <c r="FN34">
        <v>3990</v>
      </c>
      <c r="FO34" s="17">
        <v>1163</v>
      </c>
      <c r="FP34" s="17">
        <v>5004</v>
      </c>
      <c r="FQ34" s="17">
        <v>4.302665520206363</v>
      </c>
      <c r="FT34">
        <v>391</v>
      </c>
      <c r="FU34">
        <v>2887</v>
      </c>
      <c r="FX34">
        <v>187</v>
      </c>
      <c r="FY34">
        <v>1052</v>
      </c>
      <c r="FZ34">
        <v>1234</v>
      </c>
      <c r="GA34">
        <v>3834</v>
      </c>
      <c r="GB34">
        <v>55</v>
      </c>
      <c r="GC34">
        <v>261</v>
      </c>
      <c r="GD34">
        <v>34</v>
      </c>
      <c r="GE34">
        <v>187</v>
      </c>
      <c r="GJ34">
        <v>77</v>
      </c>
    </row>
    <row r="35" spans="1:192" ht="15.75">
      <c r="A35" s="18" t="s">
        <v>309</v>
      </c>
      <c r="B35" t="s">
        <v>35</v>
      </c>
      <c r="C35">
        <v>36</v>
      </c>
      <c r="D35">
        <v>131</v>
      </c>
      <c r="E35">
        <v>25</v>
      </c>
      <c r="F35">
        <v>217</v>
      </c>
      <c r="I35">
        <v>301</v>
      </c>
      <c r="J35">
        <v>811</v>
      </c>
      <c r="K35" s="17">
        <v>362</v>
      </c>
      <c r="L35" s="17">
        <v>1159</v>
      </c>
      <c r="M35" s="17">
        <v>3.201657458563536</v>
      </c>
      <c r="N35">
        <v>45</v>
      </c>
      <c r="O35">
        <v>216</v>
      </c>
      <c r="P35">
        <v>461</v>
      </c>
      <c r="Q35">
        <v>1502</v>
      </c>
      <c r="R35">
        <v>103</v>
      </c>
      <c r="S35">
        <v>668</v>
      </c>
      <c r="T35">
        <v>16</v>
      </c>
      <c r="U35">
        <v>266</v>
      </c>
      <c r="V35">
        <v>16</v>
      </c>
      <c r="W35">
        <v>221</v>
      </c>
      <c r="X35">
        <v>5</v>
      </c>
      <c r="Y35">
        <v>67</v>
      </c>
      <c r="Z35">
        <v>28</v>
      </c>
      <c r="AA35">
        <v>257</v>
      </c>
      <c r="AB35" s="17">
        <v>674</v>
      </c>
      <c r="AC35" s="17">
        <v>3197</v>
      </c>
      <c r="AD35" s="17">
        <v>4.743323442136498</v>
      </c>
      <c r="AE35">
        <v>4</v>
      </c>
      <c r="AF35">
        <v>37</v>
      </c>
      <c r="AG35">
        <v>44</v>
      </c>
      <c r="AH35">
        <v>171</v>
      </c>
      <c r="AK35">
        <v>3</v>
      </c>
      <c r="AL35">
        <v>49</v>
      </c>
      <c r="AM35" s="17">
        <v>51</v>
      </c>
      <c r="AN35" s="17">
        <v>257</v>
      </c>
      <c r="AO35" s="17">
        <v>5.03921568627451</v>
      </c>
      <c r="AR35">
        <v>31</v>
      </c>
      <c r="AS35">
        <v>922</v>
      </c>
      <c r="AT35">
        <v>1</v>
      </c>
      <c r="AU35">
        <v>32</v>
      </c>
      <c r="AV35">
        <v>25</v>
      </c>
      <c r="AW35">
        <v>418</v>
      </c>
      <c r="BB35">
        <v>4</v>
      </c>
      <c r="BC35">
        <v>59</v>
      </c>
      <c r="BD35" s="17">
        <v>61</v>
      </c>
      <c r="BE35" s="17">
        <v>1431</v>
      </c>
      <c r="BF35" s="17">
        <v>23.459016393442624</v>
      </c>
      <c r="BI35">
        <v>45</v>
      </c>
      <c r="BJ35">
        <v>522</v>
      </c>
      <c r="BK35">
        <v>45</v>
      </c>
      <c r="BL35">
        <v>522</v>
      </c>
      <c r="BP35">
        <v>637</v>
      </c>
      <c r="BQ35">
        <v>4858</v>
      </c>
      <c r="BR35">
        <v>8</v>
      </c>
      <c r="BS35">
        <v>1649</v>
      </c>
      <c r="BT35">
        <v>52</v>
      </c>
      <c r="BU35">
        <v>704</v>
      </c>
      <c r="CF35">
        <v>10</v>
      </c>
      <c r="CG35">
        <v>178</v>
      </c>
      <c r="CP35">
        <v>22</v>
      </c>
      <c r="CQ35">
        <v>217</v>
      </c>
      <c r="CR35">
        <v>729</v>
      </c>
      <c r="CS35">
        <v>7606</v>
      </c>
      <c r="CU35">
        <v>2</v>
      </c>
      <c r="CV35">
        <v>5</v>
      </c>
      <c r="DA35">
        <v>15</v>
      </c>
      <c r="DB35">
        <v>3000</v>
      </c>
      <c r="DC35">
        <v>15</v>
      </c>
      <c r="DD35">
        <v>84</v>
      </c>
      <c r="DE35">
        <v>2</v>
      </c>
      <c r="DF35">
        <v>37</v>
      </c>
      <c r="DG35">
        <v>34</v>
      </c>
      <c r="DH35">
        <v>3126</v>
      </c>
      <c r="DI35" s="17">
        <v>774</v>
      </c>
      <c r="DJ35" s="17">
        <v>8128</v>
      </c>
      <c r="DK35" s="17">
        <v>10.501291989664082</v>
      </c>
      <c r="DO35">
        <v>2</v>
      </c>
      <c r="DP35">
        <v>11</v>
      </c>
      <c r="DQ35">
        <v>1</v>
      </c>
      <c r="DR35">
        <v>3</v>
      </c>
      <c r="DS35">
        <v>3</v>
      </c>
      <c r="DT35">
        <v>14</v>
      </c>
      <c r="DX35">
        <v>71</v>
      </c>
      <c r="DY35">
        <v>267</v>
      </c>
      <c r="DZ35">
        <v>118</v>
      </c>
      <c r="EA35">
        <v>258</v>
      </c>
      <c r="EB35">
        <v>189</v>
      </c>
      <c r="EC35">
        <v>525</v>
      </c>
      <c r="EI35">
        <v>36</v>
      </c>
      <c r="EJ35">
        <v>125</v>
      </c>
      <c r="EK35">
        <v>36</v>
      </c>
      <c r="EL35">
        <v>125</v>
      </c>
      <c r="EP35">
        <v>1</v>
      </c>
      <c r="EQ35">
        <v>13</v>
      </c>
      <c r="ER35">
        <v>19</v>
      </c>
      <c r="ES35">
        <v>260</v>
      </c>
      <c r="ET35">
        <v>8</v>
      </c>
      <c r="EU35">
        <v>137</v>
      </c>
      <c r="EV35">
        <v>28</v>
      </c>
      <c r="EW35">
        <v>410</v>
      </c>
      <c r="EY35">
        <v>5</v>
      </c>
      <c r="EZ35">
        <v>11</v>
      </c>
      <c r="FA35">
        <v>1</v>
      </c>
      <c r="FB35">
        <v>3</v>
      </c>
      <c r="FE35">
        <v>437</v>
      </c>
      <c r="FF35">
        <v>2186</v>
      </c>
      <c r="FG35">
        <v>171</v>
      </c>
      <c r="FH35">
        <v>372</v>
      </c>
      <c r="FI35">
        <v>7</v>
      </c>
      <c r="FJ35">
        <v>146</v>
      </c>
      <c r="FK35">
        <v>3</v>
      </c>
      <c r="FL35">
        <v>27</v>
      </c>
      <c r="FM35">
        <v>624</v>
      </c>
      <c r="FN35">
        <v>2745</v>
      </c>
      <c r="FO35" s="17">
        <v>880</v>
      </c>
      <c r="FP35" s="17">
        <v>3819</v>
      </c>
      <c r="FQ35" s="17">
        <v>4.339772727272727</v>
      </c>
      <c r="FT35">
        <v>168</v>
      </c>
      <c r="FU35">
        <v>915</v>
      </c>
      <c r="FX35">
        <v>204</v>
      </c>
      <c r="FY35">
        <v>1196</v>
      </c>
      <c r="FZ35">
        <v>132</v>
      </c>
      <c r="GA35">
        <v>2786</v>
      </c>
      <c r="GB35">
        <v>45</v>
      </c>
      <c r="GC35">
        <v>276</v>
      </c>
      <c r="GD35">
        <v>26</v>
      </c>
      <c r="GE35">
        <v>173</v>
      </c>
      <c r="GF35">
        <v>4</v>
      </c>
      <c r="GG35">
        <v>50</v>
      </c>
      <c r="GJ35">
        <v>255</v>
      </c>
    </row>
    <row r="36" spans="1:192" ht="15.75">
      <c r="A36" s="18" t="s">
        <v>310</v>
      </c>
      <c r="B36" t="s">
        <v>36</v>
      </c>
      <c r="C36">
        <v>2</v>
      </c>
      <c r="D36">
        <v>97</v>
      </c>
      <c r="E36">
        <v>44</v>
      </c>
      <c r="F36">
        <v>230</v>
      </c>
      <c r="G36">
        <v>1</v>
      </c>
      <c r="H36">
        <v>55</v>
      </c>
      <c r="I36">
        <v>278</v>
      </c>
      <c r="J36">
        <v>1105</v>
      </c>
      <c r="K36" s="17">
        <v>325</v>
      </c>
      <c r="L36" s="17">
        <v>1487</v>
      </c>
      <c r="M36" s="17">
        <v>4.575384615384616</v>
      </c>
      <c r="N36">
        <v>53</v>
      </c>
      <c r="O36">
        <v>285</v>
      </c>
      <c r="P36">
        <v>702</v>
      </c>
      <c r="Q36">
        <v>3121</v>
      </c>
      <c r="R36">
        <v>149</v>
      </c>
      <c r="S36">
        <v>975</v>
      </c>
      <c r="T36">
        <v>10</v>
      </c>
      <c r="U36">
        <v>167</v>
      </c>
      <c r="V36">
        <v>12</v>
      </c>
      <c r="W36">
        <v>186</v>
      </c>
      <c r="X36">
        <v>13</v>
      </c>
      <c r="Y36">
        <v>180</v>
      </c>
      <c r="Z36">
        <v>25</v>
      </c>
      <c r="AA36">
        <v>263</v>
      </c>
      <c r="AB36" s="17">
        <v>964</v>
      </c>
      <c r="AC36" s="17">
        <v>5177</v>
      </c>
      <c r="AD36" s="17">
        <v>5.3703319502074685</v>
      </c>
      <c r="AE36">
        <v>32</v>
      </c>
      <c r="AF36">
        <v>931</v>
      </c>
      <c r="AG36">
        <v>170</v>
      </c>
      <c r="AH36">
        <v>801</v>
      </c>
      <c r="AI36">
        <v>1</v>
      </c>
      <c r="AJ36">
        <v>3</v>
      </c>
      <c r="AK36">
        <v>22</v>
      </c>
      <c r="AL36">
        <v>851</v>
      </c>
      <c r="AM36" s="17">
        <v>225</v>
      </c>
      <c r="AN36" s="17">
        <v>2586</v>
      </c>
      <c r="AO36" s="17">
        <v>11.493333333333334</v>
      </c>
      <c r="AP36">
        <v>8</v>
      </c>
      <c r="AQ36">
        <v>251</v>
      </c>
      <c r="AR36">
        <v>28</v>
      </c>
      <c r="AS36">
        <v>711</v>
      </c>
      <c r="AT36">
        <v>1</v>
      </c>
      <c r="AU36">
        <v>13</v>
      </c>
      <c r="AV36">
        <v>34</v>
      </c>
      <c r="AW36">
        <v>459</v>
      </c>
      <c r="BB36">
        <v>13</v>
      </c>
      <c r="BC36">
        <v>177</v>
      </c>
      <c r="BD36" s="17">
        <v>84</v>
      </c>
      <c r="BE36" s="17">
        <v>1611</v>
      </c>
      <c r="BF36" s="17">
        <v>19.178571428571427</v>
      </c>
      <c r="BG36">
        <v>4</v>
      </c>
      <c r="BH36">
        <v>38</v>
      </c>
      <c r="BI36">
        <v>38</v>
      </c>
      <c r="BJ36">
        <v>439</v>
      </c>
      <c r="BK36">
        <v>42</v>
      </c>
      <c r="BL36">
        <v>477</v>
      </c>
      <c r="BP36">
        <v>428</v>
      </c>
      <c r="BQ36">
        <v>9487</v>
      </c>
      <c r="BT36">
        <v>233</v>
      </c>
      <c r="BU36">
        <v>2824</v>
      </c>
      <c r="BX36">
        <v>6</v>
      </c>
      <c r="BY36">
        <v>4384</v>
      </c>
      <c r="CF36">
        <v>10</v>
      </c>
      <c r="CG36">
        <v>167</v>
      </c>
      <c r="CN36">
        <v>2</v>
      </c>
      <c r="CO36">
        <v>55</v>
      </c>
      <c r="CP36">
        <v>46</v>
      </c>
      <c r="CQ36">
        <v>557</v>
      </c>
      <c r="CR36">
        <v>725</v>
      </c>
      <c r="CS36">
        <v>17474</v>
      </c>
      <c r="CU36">
        <v>22</v>
      </c>
      <c r="CV36">
        <v>975</v>
      </c>
      <c r="DC36">
        <v>14</v>
      </c>
      <c r="DD36">
        <v>516</v>
      </c>
      <c r="DE36">
        <v>4</v>
      </c>
      <c r="DF36">
        <v>79</v>
      </c>
      <c r="DG36">
        <v>40</v>
      </c>
      <c r="DH36">
        <v>1570</v>
      </c>
      <c r="DI36" s="17">
        <v>767</v>
      </c>
      <c r="DJ36" s="17">
        <v>17951</v>
      </c>
      <c r="DK36" s="17">
        <v>23.404172099087354</v>
      </c>
      <c r="DO36">
        <v>7</v>
      </c>
      <c r="DP36">
        <v>48</v>
      </c>
      <c r="DQ36">
        <v>18</v>
      </c>
      <c r="DR36">
        <v>188</v>
      </c>
      <c r="DS36">
        <v>25</v>
      </c>
      <c r="DT36">
        <v>236</v>
      </c>
      <c r="DX36">
        <v>43</v>
      </c>
      <c r="DY36">
        <v>299</v>
      </c>
      <c r="DZ36">
        <v>564</v>
      </c>
      <c r="EA36">
        <v>1032</v>
      </c>
      <c r="EB36">
        <v>607</v>
      </c>
      <c r="EC36">
        <v>1331</v>
      </c>
      <c r="EE36">
        <v>25</v>
      </c>
      <c r="EF36">
        <v>255</v>
      </c>
      <c r="EI36">
        <v>41</v>
      </c>
      <c r="EJ36">
        <v>384</v>
      </c>
      <c r="EK36">
        <v>66</v>
      </c>
      <c r="EL36">
        <v>639</v>
      </c>
      <c r="EP36">
        <v>3</v>
      </c>
      <c r="EQ36">
        <v>32</v>
      </c>
      <c r="ER36">
        <v>46</v>
      </c>
      <c r="ES36">
        <v>317</v>
      </c>
      <c r="ET36">
        <v>11</v>
      </c>
      <c r="EU36">
        <v>137</v>
      </c>
      <c r="EV36">
        <v>60</v>
      </c>
      <c r="EW36">
        <v>486</v>
      </c>
      <c r="EY36">
        <v>54</v>
      </c>
      <c r="EZ36">
        <v>181</v>
      </c>
      <c r="FA36">
        <v>3</v>
      </c>
      <c r="FB36">
        <v>37</v>
      </c>
      <c r="FC36">
        <v>41</v>
      </c>
      <c r="FD36">
        <v>60</v>
      </c>
      <c r="FE36">
        <v>923</v>
      </c>
      <c r="FF36">
        <v>3744</v>
      </c>
      <c r="FI36">
        <v>25</v>
      </c>
      <c r="FJ36">
        <v>216</v>
      </c>
      <c r="FK36">
        <v>8</v>
      </c>
      <c r="FL36">
        <v>57</v>
      </c>
      <c r="FM36">
        <v>1054</v>
      </c>
      <c r="FN36">
        <v>4295</v>
      </c>
      <c r="FO36" s="17">
        <v>1812</v>
      </c>
      <c r="FP36" s="17">
        <v>6987</v>
      </c>
      <c r="FQ36" s="17">
        <v>3.8559602649006623</v>
      </c>
      <c r="FT36">
        <v>54</v>
      </c>
      <c r="FU36">
        <v>889</v>
      </c>
      <c r="FV36">
        <v>20</v>
      </c>
      <c r="FW36">
        <v>157</v>
      </c>
      <c r="FX36">
        <v>870</v>
      </c>
      <c r="FY36">
        <v>3169</v>
      </c>
      <c r="FZ36">
        <v>692</v>
      </c>
      <c r="GA36">
        <v>2748</v>
      </c>
      <c r="GB36">
        <v>34</v>
      </c>
      <c r="GC36">
        <v>237</v>
      </c>
      <c r="GD36">
        <v>79</v>
      </c>
      <c r="GE36">
        <v>410</v>
      </c>
      <c r="GF36">
        <v>14</v>
      </c>
      <c r="GG36">
        <v>158</v>
      </c>
      <c r="GJ36">
        <v>57</v>
      </c>
    </row>
    <row r="37" spans="1:192" ht="15.75">
      <c r="A37" s="18" t="s">
        <v>311</v>
      </c>
      <c r="B37" t="s">
        <v>37</v>
      </c>
      <c r="C37">
        <v>2</v>
      </c>
      <c r="D37">
        <v>125</v>
      </c>
      <c r="E37">
        <v>24</v>
      </c>
      <c r="F37">
        <v>231</v>
      </c>
      <c r="I37">
        <v>213</v>
      </c>
      <c r="J37">
        <v>1008</v>
      </c>
      <c r="K37" s="17">
        <v>239</v>
      </c>
      <c r="L37" s="17">
        <v>1364</v>
      </c>
      <c r="M37" s="17">
        <v>5.707112970711297</v>
      </c>
      <c r="N37">
        <v>36</v>
      </c>
      <c r="O37">
        <v>257</v>
      </c>
      <c r="P37">
        <v>425</v>
      </c>
      <c r="Q37">
        <v>1990</v>
      </c>
      <c r="R37">
        <v>66</v>
      </c>
      <c r="S37">
        <v>557</v>
      </c>
      <c r="T37">
        <v>13</v>
      </c>
      <c r="U37">
        <v>183</v>
      </c>
      <c r="V37">
        <v>12</v>
      </c>
      <c r="W37">
        <v>232</v>
      </c>
      <c r="X37">
        <v>11</v>
      </c>
      <c r="Y37">
        <v>97</v>
      </c>
      <c r="Z37">
        <v>25</v>
      </c>
      <c r="AA37">
        <v>296</v>
      </c>
      <c r="AB37" s="17">
        <v>588</v>
      </c>
      <c r="AC37" s="17">
        <v>3612</v>
      </c>
      <c r="AD37" s="17">
        <v>6.142857142857143</v>
      </c>
      <c r="AE37">
        <v>39</v>
      </c>
      <c r="AF37">
        <v>602</v>
      </c>
      <c r="AG37">
        <v>247</v>
      </c>
      <c r="AH37">
        <v>844</v>
      </c>
      <c r="AK37">
        <v>50</v>
      </c>
      <c r="AL37">
        <v>481</v>
      </c>
      <c r="AM37" s="17">
        <v>336</v>
      </c>
      <c r="AN37" s="17">
        <v>1927</v>
      </c>
      <c r="AO37" s="17">
        <v>5.7351190476190474</v>
      </c>
      <c r="AP37">
        <v>6</v>
      </c>
      <c r="AQ37">
        <v>159</v>
      </c>
      <c r="AR37">
        <v>20</v>
      </c>
      <c r="AS37">
        <v>536</v>
      </c>
      <c r="AT37">
        <v>3</v>
      </c>
      <c r="AU37">
        <v>201</v>
      </c>
      <c r="AV37">
        <v>23</v>
      </c>
      <c r="AW37">
        <v>332</v>
      </c>
      <c r="BB37">
        <v>4</v>
      </c>
      <c r="BC37">
        <v>48</v>
      </c>
      <c r="BD37" s="17">
        <v>56</v>
      </c>
      <c r="BE37" s="17">
        <v>1276</v>
      </c>
      <c r="BF37" s="17">
        <v>22.785714285714285</v>
      </c>
      <c r="BG37">
        <v>40</v>
      </c>
      <c r="BH37">
        <v>229</v>
      </c>
      <c r="BI37">
        <v>31</v>
      </c>
      <c r="BJ37">
        <v>483</v>
      </c>
      <c r="BK37">
        <v>71</v>
      </c>
      <c r="BL37">
        <v>712</v>
      </c>
      <c r="BP37">
        <v>483</v>
      </c>
      <c r="BQ37">
        <v>8182</v>
      </c>
      <c r="BT37">
        <v>152</v>
      </c>
      <c r="BU37">
        <v>2345</v>
      </c>
      <c r="BV37">
        <v>1</v>
      </c>
      <c r="BW37">
        <v>21</v>
      </c>
      <c r="BX37">
        <v>3</v>
      </c>
      <c r="BY37">
        <v>9082</v>
      </c>
      <c r="CF37">
        <v>8</v>
      </c>
      <c r="CG37">
        <v>129</v>
      </c>
      <c r="CP37">
        <v>25</v>
      </c>
      <c r="CQ37">
        <v>299</v>
      </c>
      <c r="CR37">
        <v>672</v>
      </c>
      <c r="CS37">
        <v>20058</v>
      </c>
      <c r="CU37">
        <v>8</v>
      </c>
      <c r="CV37">
        <v>949</v>
      </c>
      <c r="DC37">
        <v>5</v>
      </c>
      <c r="DD37">
        <v>213</v>
      </c>
      <c r="DE37">
        <v>8</v>
      </c>
      <c r="DF37">
        <v>159</v>
      </c>
      <c r="DG37">
        <v>21</v>
      </c>
      <c r="DH37">
        <v>1321</v>
      </c>
      <c r="DI37" s="17">
        <v>743</v>
      </c>
      <c r="DJ37" s="17">
        <v>20770</v>
      </c>
      <c r="DK37" s="17">
        <v>27.954239569313593</v>
      </c>
      <c r="DO37">
        <v>3</v>
      </c>
      <c r="DP37">
        <v>31</v>
      </c>
      <c r="DQ37">
        <v>289</v>
      </c>
      <c r="DR37">
        <v>2182</v>
      </c>
      <c r="DS37">
        <v>292</v>
      </c>
      <c r="DT37">
        <v>2213</v>
      </c>
      <c r="DX37">
        <v>42</v>
      </c>
      <c r="DY37">
        <v>359</v>
      </c>
      <c r="DZ37">
        <v>733</v>
      </c>
      <c r="EA37">
        <v>1961</v>
      </c>
      <c r="EB37">
        <v>775</v>
      </c>
      <c r="EC37">
        <v>2320</v>
      </c>
      <c r="EE37">
        <v>1</v>
      </c>
      <c r="EF37">
        <v>6</v>
      </c>
      <c r="EI37">
        <v>28</v>
      </c>
      <c r="EJ37">
        <v>384</v>
      </c>
      <c r="EK37">
        <v>29</v>
      </c>
      <c r="EL37">
        <v>390</v>
      </c>
      <c r="EN37">
        <v>18</v>
      </c>
      <c r="EO37">
        <v>91</v>
      </c>
      <c r="EP37">
        <v>21</v>
      </c>
      <c r="EQ37">
        <v>109</v>
      </c>
      <c r="ER37">
        <v>14</v>
      </c>
      <c r="ES37">
        <v>91</v>
      </c>
      <c r="ET37">
        <v>5</v>
      </c>
      <c r="EU37">
        <v>70</v>
      </c>
      <c r="EV37">
        <v>58</v>
      </c>
      <c r="EW37">
        <v>361</v>
      </c>
      <c r="EY37">
        <v>28</v>
      </c>
      <c r="EZ37">
        <v>251</v>
      </c>
      <c r="FA37">
        <v>1</v>
      </c>
      <c r="FB37">
        <v>6</v>
      </c>
      <c r="FE37">
        <v>473</v>
      </c>
      <c r="FF37">
        <v>2284</v>
      </c>
      <c r="FI37">
        <v>26</v>
      </c>
      <c r="FJ37">
        <v>226</v>
      </c>
      <c r="FK37">
        <v>4</v>
      </c>
      <c r="FL37">
        <v>31</v>
      </c>
      <c r="FM37">
        <v>532</v>
      </c>
      <c r="FN37">
        <v>2798</v>
      </c>
      <c r="FO37" s="17">
        <v>1686</v>
      </c>
      <c r="FP37" s="17">
        <v>8082</v>
      </c>
      <c r="FQ37" s="17">
        <v>4.7935943060498225</v>
      </c>
      <c r="FT37">
        <v>38</v>
      </c>
      <c r="FU37">
        <v>736</v>
      </c>
      <c r="FV37">
        <v>13</v>
      </c>
      <c r="FW37">
        <v>119</v>
      </c>
      <c r="FX37">
        <v>437</v>
      </c>
      <c r="FY37">
        <v>2133</v>
      </c>
      <c r="FZ37">
        <v>578</v>
      </c>
      <c r="GA37">
        <v>2620</v>
      </c>
      <c r="GB37">
        <v>45</v>
      </c>
      <c r="GC37">
        <v>387</v>
      </c>
      <c r="GD37">
        <v>28</v>
      </c>
      <c r="GE37">
        <v>218</v>
      </c>
      <c r="GF37">
        <v>15</v>
      </c>
      <c r="GG37">
        <v>145</v>
      </c>
      <c r="GJ37">
        <v>112</v>
      </c>
    </row>
    <row r="38" spans="1:192" ht="15.75">
      <c r="A38" s="18" t="s">
        <v>312</v>
      </c>
      <c r="B38" t="s">
        <v>38</v>
      </c>
      <c r="C38">
        <v>2</v>
      </c>
      <c r="D38">
        <v>39</v>
      </c>
      <c r="E38">
        <v>20</v>
      </c>
      <c r="F38">
        <v>84</v>
      </c>
      <c r="I38">
        <v>205</v>
      </c>
      <c r="J38">
        <v>585</v>
      </c>
      <c r="K38" s="17">
        <v>227</v>
      </c>
      <c r="L38" s="17">
        <v>708</v>
      </c>
      <c r="M38" s="17">
        <v>3.118942731277533</v>
      </c>
      <c r="N38">
        <v>25</v>
      </c>
      <c r="O38">
        <v>129</v>
      </c>
      <c r="P38">
        <v>528</v>
      </c>
      <c r="Q38">
        <v>1490</v>
      </c>
      <c r="R38">
        <v>140</v>
      </c>
      <c r="S38">
        <v>512</v>
      </c>
      <c r="T38">
        <v>11</v>
      </c>
      <c r="U38">
        <v>68</v>
      </c>
      <c r="V38">
        <v>4</v>
      </c>
      <c r="W38">
        <v>41</v>
      </c>
      <c r="X38">
        <v>3</v>
      </c>
      <c r="Y38">
        <v>11</v>
      </c>
      <c r="Z38">
        <v>24</v>
      </c>
      <c r="AA38">
        <v>129</v>
      </c>
      <c r="AB38" s="17">
        <v>735</v>
      </c>
      <c r="AC38" s="17">
        <v>2380</v>
      </c>
      <c r="AD38" s="17">
        <v>3.238095238095238</v>
      </c>
      <c r="AE38">
        <v>14</v>
      </c>
      <c r="AF38">
        <v>185</v>
      </c>
      <c r="AG38">
        <v>218</v>
      </c>
      <c r="AH38">
        <v>420</v>
      </c>
      <c r="AI38">
        <v>2</v>
      </c>
      <c r="AJ38">
        <v>132</v>
      </c>
      <c r="AK38">
        <v>8</v>
      </c>
      <c r="AL38">
        <v>64</v>
      </c>
      <c r="AM38" s="17">
        <v>242</v>
      </c>
      <c r="AN38" s="17">
        <v>801</v>
      </c>
      <c r="AO38" s="17">
        <v>3.309917355371901</v>
      </c>
      <c r="AR38">
        <v>29</v>
      </c>
      <c r="AS38">
        <v>447</v>
      </c>
      <c r="AT38">
        <v>9</v>
      </c>
      <c r="AU38">
        <v>74</v>
      </c>
      <c r="AV38">
        <v>16</v>
      </c>
      <c r="AW38">
        <v>215</v>
      </c>
      <c r="BB38">
        <v>5</v>
      </c>
      <c r="BC38">
        <v>35</v>
      </c>
      <c r="BD38" s="17">
        <v>59</v>
      </c>
      <c r="BE38" s="17">
        <v>771</v>
      </c>
      <c r="BF38" s="17">
        <v>13.067796610169491</v>
      </c>
      <c r="BG38">
        <v>1</v>
      </c>
      <c r="BH38">
        <v>3</v>
      </c>
      <c r="BI38">
        <v>17</v>
      </c>
      <c r="BJ38">
        <v>120</v>
      </c>
      <c r="BK38">
        <v>18</v>
      </c>
      <c r="BL38">
        <v>123</v>
      </c>
      <c r="BP38">
        <v>667</v>
      </c>
      <c r="BQ38">
        <v>10527</v>
      </c>
      <c r="BR38">
        <v>2</v>
      </c>
      <c r="BS38">
        <v>251</v>
      </c>
      <c r="BT38">
        <v>90</v>
      </c>
      <c r="BU38">
        <v>610</v>
      </c>
      <c r="CF38">
        <v>4</v>
      </c>
      <c r="CG38">
        <v>70</v>
      </c>
      <c r="CP38">
        <v>32</v>
      </c>
      <c r="CQ38">
        <v>246</v>
      </c>
      <c r="CR38">
        <v>795</v>
      </c>
      <c r="CS38">
        <v>11704</v>
      </c>
      <c r="CU38">
        <v>13</v>
      </c>
      <c r="CV38">
        <v>461</v>
      </c>
      <c r="DC38">
        <v>9</v>
      </c>
      <c r="DD38">
        <v>190</v>
      </c>
      <c r="DE38">
        <v>1</v>
      </c>
      <c r="DF38">
        <v>10</v>
      </c>
      <c r="DG38">
        <v>23</v>
      </c>
      <c r="DH38">
        <v>661</v>
      </c>
      <c r="DI38" s="17">
        <v>813</v>
      </c>
      <c r="DJ38" s="17">
        <v>11827</v>
      </c>
      <c r="DK38" s="17">
        <v>14.547355473554736</v>
      </c>
      <c r="DS38">
        <v>0</v>
      </c>
      <c r="DT38">
        <v>0</v>
      </c>
      <c r="DV38">
        <v>1</v>
      </c>
      <c r="DW38">
        <v>6</v>
      </c>
      <c r="DX38">
        <v>45</v>
      </c>
      <c r="DY38">
        <v>233</v>
      </c>
      <c r="DZ38">
        <v>494</v>
      </c>
      <c r="EA38">
        <v>878</v>
      </c>
      <c r="EB38">
        <v>540</v>
      </c>
      <c r="EC38">
        <v>1117</v>
      </c>
      <c r="EE38">
        <v>1</v>
      </c>
      <c r="EF38">
        <v>3</v>
      </c>
      <c r="EI38">
        <v>22</v>
      </c>
      <c r="EJ38">
        <v>316</v>
      </c>
      <c r="EK38">
        <v>23</v>
      </c>
      <c r="EL38">
        <v>319</v>
      </c>
      <c r="EP38">
        <v>3</v>
      </c>
      <c r="EQ38">
        <v>4</v>
      </c>
      <c r="ER38">
        <v>14</v>
      </c>
      <c r="ES38">
        <v>49</v>
      </c>
      <c r="ET38">
        <v>2</v>
      </c>
      <c r="EU38">
        <v>21</v>
      </c>
      <c r="EV38">
        <v>19</v>
      </c>
      <c r="EW38">
        <v>74</v>
      </c>
      <c r="EY38">
        <v>12</v>
      </c>
      <c r="EZ38">
        <v>46</v>
      </c>
      <c r="FA38">
        <v>2</v>
      </c>
      <c r="FB38">
        <v>6</v>
      </c>
      <c r="FC38">
        <v>7</v>
      </c>
      <c r="FD38">
        <v>13</v>
      </c>
      <c r="FE38">
        <v>805</v>
      </c>
      <c r="FF38">
        <v>2812</v>
      </c>
      <c r="FI38">
        <v>12</v>
      </c>
      <c r="FJ38">
        <v>120</v>
      </c>
      <c r="FK38">
        <v>2</v>
      </c>
      <c r="FL38">
        <v>5</v>
      </c>
      <c r="FM38">
        <v>840</v>
      </c>
      <c r="FN38">
        <v>3002</v>
      </c>
      <c r="FO38" s="17">
        <v>1422</v>
      </c>
      <c r="FP38" s="17">
        <v>4512</v>
      </c>
      <c r="FQ38" s="17">
        <v>3.172995780590717</v>
      </c>
      <c r="FT38">
        <v>14</v>
      </c>
      <c r="FU38">
        <v>150</v>
      </c>
      <c r="FV38">
        <v>7</v>
      </c>
      <c r="FW38">
        <v>88</v>
      </c>
      <c r="FX38">
        <v>313</v>
      </c>
      <c r="FY38">
        <v>1034</v>
      </c>
      <c r="FZ38">
        <v>753</v>
      </c>
      <c r="GA38">
        <v>2616</v>
      </c>
      <c r="GB38">
        <v>20</v>
      </c>
      <c r="GC38">
        <v>117</v>
      </c>
      <c r="GD38">
        <v>13</v>
      </c>
      <c r="GE38">
        <v>97</v>
      </c>
      <c r="GF38">
        <v>1</v>
      </c>
      <c r="GG38">
        <v>2</v>
      </c>
      <c r="GJ38">
        <v>137</v>
      </c>
    </row>
    <row r="39" spans="1:192" ht="15.75">
      <c r="A39" s="18" t="s">
        <v>313</v>
      </c>
      <c r="B39" t="s">
        <v>39</v>
      </c>
      <c r="C39">
        <v>4</v>
      </c>
      <c r="D39">
        <v>140</v>
      </c>
      <c r="E39">
        <v>24</v>
      </c>
      <c r="F39">
        <v>313</v>
      </c>
      <c r="I39">
        <v>284</v>
      </c>
      <c r="J39">
        <v>1172</v>
      </c>
      <c r="K39" s="17">
        <v>312</v>
      </c>
      <c r="L39" s="17">
        <v>1625</v>
      </c>
      <c r="M39" s="17">
        <v>5.208333333333333</v>
      </c>
      <c r="N39">
        <v>34</v>
      </c>
      <c r="O39">
        <v>309</v>
      </c>
      <c r="P39">
        <v>649</v>
      </c>
      <c r="Q39">
        <v>2900</v>
      </c>
      <c r="R39">
        <v>167</v>
      </c>
      <c r="S39">
        <v>795</v>
      </c>
      <c r="T39">
        <v>14</v>
      </c>
      <c r="U39">
        <v>188</v>
      </c>
      <c r="V39">
        <v>15</v>
      </c>
      <c r="W39">
        <v>257</v>
      </c>
      <c r="X39">
        <v>7</v>
      </c>
      <c r="Y39">
        <v>113</v>
      </c>
      <c r="Z39">
        <v>41</v>
      </c>
      <c r="AA39">
        <v>306</v>
      </c>
      <c r="AB39" s="17">
        <v>927</v>
      </c>
      <c r="AC39" s="17">
        <v>4868</v>
      </c>
      <c r="AD39" s="17">
        <v>5.251348435814455</v>
      </c>
      <c r="AE39">
        <v>2</v>
      </c>
      <c r="AF39">
        <v>42</v>
      </c>
      <c r="AG39">
        <v>214</v>
      </c>
      <c r="AH39">
        <v>918</v>
      </c>
      <c r="AI39">
        <v>1</v>
      </c>
      <c r="AJ39">
        <v>3</v>
      </c>
      <c r="AK39">
        <v>23</v>
      </c>
      <c r="AL39">
        <v>460</v>
      </c>
      <c r="AM39" s="17">
        <v>240</v>
      </c>
      <c r="AN39" s="17">
        <v>1423</v>
      </c>
      <c r="AO39" s="17">
        <v>5.929166666666666</v>
      </c>
      <c r="AP39">
        <v>17</v>
      </c>
      <c r="AQ39">
        <v>21</v>
      </c>
      <c r="AR39">
        <v>22</v>
      </c>
      <c r="AS39">
        <v>696</v>
      </c>
      <c r="AT39">
        <v>23</v>
      </c>
      <c r="AU39">
        <v>351</v>
      </c>
      <c r="AV39">
        <v>31</v>
      </c>
      <c r="AW39">
        <v>673</v>
      </c>
      <c r="BB39">
        <v>2</v>
      </c>
      <c r="BC39">
        <v>20</v>
      </c>
      <c r="BD39" s="17">
        <v>95</v>
      </c>
      <c r="BE39" s="17">
        <v>1761</v>
      </c>
      <c r="BF39" s="17">
        <v>18.53684210526316</v>
      </c>
      <c r="BG39">
        <v>7</v>
      </c>
      <c r="BH39">
        <v>13</v>
      </c>
      <c r="BI39">
        <v>38</v>
      </c>
      <c r="BJ39">
        <v>410</v>
      </c>
      <c r="BK39">
        <v>45</v>
      </c>
      <c r="BL39">
        <v>423</v>
      </c>
      <c r="BP39">
        <v>1176</v>
      </c>
      <c r="BQ39">
        <v>17345</v>
      </c>
      <c r="BR39">
        <v>4</v>
      </c>
      <c r="BS39">
        <v>967</v>
      </c>
      <c r="BT39">
        <v>81</v>
      </c>
      <c r="BU39">
        <v>1197</v>
      </c>
      <c r="CF39">
        <v>9</v>
      </c>
      <c r="CG39">
        <v>130</v>
      </c>
      <c r="CP39">
        <v>33</v>
      </c>
      <c r="CQ39">
        <v>478</v>
      </c>
      <c r="CR39">
        <v>1303</v>
      </c>
      <c r="CS39">
        <v>20117</v>
      </c>
      <c r="CU39">
        <v>14</v>
      </c>
      <c r="CV39">
        <v>736</v>
      </c>
      <c r="DC39">
        <v>33</v>
      </c>
      <c r="DD39">
        <v>634</v>
      </c>
      <c r="DE39">
        <v>2</v>
      </c>
      <c r="DF39">
        <v>53</v>
      </c>
      <c r="DG39">
        <v>49</v>
      </c>
      <c r="DH39">
        <v>1423</v>
      </c>
      <c r="DI39" s="17">
        <v>1348</v>
      </c>
      <c r="DJ39" s="17">
        <v>20540</v>
      </c>
      <c r="DK39" s="17">
        <v>15.237388724035608</v>
      </c>
      <c r="DO39">
        <v>8</v>
      </c>
      <c r="DP39">
        <v>28</v>
      </c>
      <c r="DS39">
        <v>8</v>
      </c>
      <c r="DT39">
        <v>28</v>
      </c>
      <c r="DV39">
        <v>55</v>
      </c>
      <c r="DW39">
        <v>290</v>
      </c>
      <c r="DX39">
        <v>120</v>
      </c>
      <c r="DY39">
        <v>442</v>
      </c>
      <c r="DZ39">
        <v>668</v>
      </c>
      <c r="EA39">
        <v>1014</v>
      </c>
      <c r="EB39">
        <v>843</v>
      </c>
      <c r="EC39">
        <v>1746</v>
      </c>
      <c r="EE39">
        <v>3</v>
      </c>
      <c r="EF39">
        <v>42</v>
      </c>
      <c r="EI39">
        <v>62</v>
      </c>
      <c r="EJ39">
        <v>381</v>
      </c>
      <c r="EK39">
        <v>65</v>
      </c>
      <c r="EL39">
        <v>423</v>
      </c>
      <c r="EN39">
        <v>6</v>
      </c>
      <c r="EO39">
        <v>91</v>
      </c>
      <c r="EP39">
        <v>19</v>
      </c>
      <c r="EQ39">
        <v>139</v>
      </c>
      <c r="ER39">
        <v>10</v>
      </c>
      <c r="ES39">
        <v>117</v>
      </c>
      <c r="ET39">
        <v>2</v>
      </c>
      <c r="EU39">
        <v>59</v>
      </c>
      <c r="EV39">
        <v>37</v>
      </c>
      <c r="EW39">
        <v>406</v>
      </c>
      <c r="EY39">
        <v>183</v>
      </c>
      <c r="EZ39">
        <v>509</v>
      </c>
      <c r="FE39">
        <v>738</v>
      </c>
      <c r="FF39">
        <v>3014</v>
      </c>
      <c r="FI39">
        <v>14</v>
      </c>
      <c r="FJ39">
        <v>140</v>
      </c>
      <c r="FK39">
        <v>16</v>
      </c>
      <c r="FL39">
        <v>103</v>
      </c>
      <c r="FM39">
        <v>951</v>
      </c>
      <c r="FN39">
        <v>3766</v>
      </c>
      <c r="FO39" s="17">
        <v>1904</v>
      </c>
      <c r="FP39" s="17">
        <v>6369</v>
      </c>
      <c r="FQ39" s="17">
        <v>3.345063025210084</v>
      </c>
      <c r="FT39">
        <v>17</v>
      </c>
      <c r="FU39">
        <v>793</v>
      </c>
      <c r="FV39">
        <v>12</v>
      </c>
      <c r="FW39">
        <v>111</v>
      </c>
      <c r="FX39">
        <v>443</v>
      </c>
      <c r="FY39">
        <v>1829</v>
      </c>
      <c r="FZ39">
        <v>750</v>
      </c>
      <c r="GA39">
        <v>2219</v>
      </c>
      <c r="GB39">
        <v>85</v>
      </c>
      <c r="GC39">
        <v>365</v>
      </c>
      <c r="GD39">
        <v>57</v>
      </c>
      <c r="GE39">
        <v>277</v>
      </c>
      <c r="GF39">
        <v>3</v>
      </c>
      <c r="GG39">
        <v>63</v>
      </c>
      <c r="GJ39">
        <v>257</v>
      </c>
    </row>
    <row r="40" spans="1:192" ht="15.75">
      <c r="A40" s="18" t="s">
        <v>314</v>
      </c>
      <c r="B40" t="s">
        <v>40</v>
      </c>
      <c r="C40">
        <v>13</v>
      </c>
      <c r="D40">
        <v>56</v>
      </c>
      <c r="E40">
        <v>55</v>
      </c>
      <c r="F40">
        <v>393</v>
      </c>
      <c r="G40">
        <v>5</v>
      </c>
      <c r="H40">
        <v>28</v>
      </c>
      <c r="I40">
        <v>199</v>
      </c>
      <c r="J40">
        <v>513</v>
      </c>
      <c r="K40" s="17">
        <v>272</v>
      </c>
      <c r="L40" s="17">
        <v>990</v>
      </c>
      <c r="M40" s="17">
        <v>3.639705882352941</v>
      </c>
      <c r="N40">
        <v>42</v>
      </c>
      <c r="O40">
        <v>197</v>
      </c>
      <c r="P40">
        <v>523</v>
      </c>
      <c r="Q40">
        <v>1712</v>
      </c>
      <c r="R40">
        <v>108</v>
      </c>
      <c r="S40">
        <v>501</v>
      </c>
      <c r="T40">
        <v>20</v>
      </c>
      <c r="U40">
        <v>298</v>
      </c>
      <c r="V40">
        <v>32</v>
      </c>
      <c r="W40">
        <v>297</v>
      </c>
      <c r="X40">
        <v>15</v>
      </c>
      <c r="Y40">
        <v>52</v>
      </c>
      <c r="Z40">
        <v>32</v>
      </c>
      <c r="AA40">
        <v>166</v>
      </c>
      <c r="AB40" s="17">
        <v>772</v>
      </c>
      <c r="AC40" s="17">
        <v>3223</v>
      </c>
      <c r="AD40" s="17">
        <v>4.174870466321243</v>
      </c>
      <c r="AE40">
        <v>29</v>
      </c>
      <c r="AF40">
        <v>616</v>
      </c>
      <c r="AG40">
        <v>135</v>
      </c>
      <c r="AH40">
        <v>561</v>
      </c>
      <c r="AK40">
        <v>7</v>
      </c>
      <c r="AL40">
        <v>143</v>
      </c>
      <c r="AM40" s="17">
        <v>171</v>
      </c>
      <c r="AN40" s="17">
        <v>1320</v>
      </c>
      <c r="AO40" s="17">
        <v>7.719298245614035</v>
      </c>
      <c r="AP40">
        <v>6</v>
      </c>
      <c r="AQ40">
        <v>134</v>
      </c>
      <c r="AR40">
        <v>26</v>
      </c>
      <c r="AS40">
        <v>867</v>
      </c>
      <c r="AT40">
        <v>8</v>
      </c>
      <c r="AU40">
        <v>52</v>
      </c>
      <c r="AV40">
        <v>47</v>
      </c>
      <c r="AW40">
        <v>792</v>
      </c>
      <c r="BB40">
        <v>22</v>
      </c>
      <c r="BC40">
        <v>167</v>
      </c>
      <c r="BD40" s="17">
        <v>109</v>
      </c>
      <c r="BE40" s="17">
        <v>2012</v>
      </c>
      <c r="BF40" s="17">
        <v>18.458715596330276</v>
      </c>
      <c r="BG40">
        <v>8</v>
      </c>
      <c r="BH40">
        <v>19</v>
      </c>
      <c r="BI40">
        <v>50</v>
      </c>
      <c r="BJ40">
        <v>764</v>
      </c>
      <c r="BK40">
        <v>58</v>
      </c>
      <c r="BL40">
        <v>783</v>
      </c>
      <c r="BP40">
        <v>1114</v>
      </c>
      <c r="BQ40">
        <v>7875</v>
      </c>
      <c r="BT40">
        <v>269</v>
      </c>
      <c r="BU40">
        <v>2616</v>
      </c>
      <c r="BV40">
        <v>1</v>
      </c>
      <c r="BW40">
        <v>1</v>
      </c>
      <c r="BX40">
        <v>2</v>
      </c>
      <c r="BY40">
        <v>641</v>
      </c>
      <c r="CD40">
        <v>4</v>
      </c>
      <c r="CE40">
        <v>29</v>
      </c>
      <c r="CF40">
        <v>13</v>
      </c>
      <c r="CG40">
        <v>327</v>
      </c>
      <c r="CL40">
        <v>1</v>
      </c>
      <c r="CM40">
        <v>9</v>
      </c>
      <c r="CP40">
        <v>22</v>
      </c>
      <c r="CQ40">
        <v>266</v>
      </c>
      <c r="CR40">
        <v>1426</v>
      </c>
      <c r="CS40">
        <v>11764</v>
      </c>
      <c r="CU40">
        <v>21</v>
      </c>
      <c r="CV40">
        <v>1063</v>
      </c>
      <c r="CW40">
        <v>8</v>
      </c>
      <c r="CX40">
        <v>158</v>
      </c>
      <c r="CY40">
        <v>4</v>
      </c>
      <c r="CZ40">
        <v>59</v>
      </c>
      <c r="DC40">
        <v>109</v>
      </c>
      <c r="DD40">
        <v>1518</v>
      </c>
      <c r="DE40">
        <v>8</v>
      </c>
      <c r="DF40">
        <v>63</v>
      </c>
      <c r="DG40">
        <v>150</v>
      </c>
      <c r="DH40">
        <v>2861</v>
      </c>
      <c r="DI40" s="17">
        <v>1492</v>
      </c>
      <c r="DJ40" s="17">
        <v>12705</v>
      </c>
      <c r="DK40" s="17">
        <v>8.515415549597856</v>
      </c>
      <c r="DO40">
        <v>11</v>
      </c>
      <c r="DP40">
        <v>45</v>
      </c>
      <c r="DQ40">
        <v>31</v>
      </c>
      <c r="DR40">
        <v>104</v>
      </c>
      <c r="DS40">
        <v>42</v>
      </c>
      <c r="DT40">
        <v>149</v>
      </c>
      <c r="DX40">
        <v>49</v>
      </c>
      <c r="DY40">
        <v>147</v>
      </c>
      <c r="DZ40">
        <v>450</v>
      </c>
      <c r="EA40">
        <v>680</v>
      </c>
      <c r="EB40">
        <v>499</v>
      </c>
      <c r="EC40">
        <v>827</v>
      </c>
      <c r="EE40">
        <v>6</v>
      </c>
      <c r="EF40">
        <v>73</v>
      </c>
      <c r="EI40">
        <v>14</v>
      </c>
      <c r="EJ40">
        <v>122</v>
      </c>
      <c r="EK40">
        <v>20</v>
      </c>
      <c r="EL40">
        <v>195</v>
      </c>
      <c r="EN40">
        <v>2</v>
      </c>
      <c r="EO40">
        <v>15</v>
      </c>
      <c r="EP40">
        <v>1</v>
      </c>
      <c r="EQ40">
        <v>2</v>
      </c>
      <c r="ER40">
        <v>37</v>
      </c>
      <c r="ES40">
        <v>149</v>
      </c>
      <c r="ET40">
        <v>22</v>
      </c>
      <c r="EU40">
        <v>192</v>
      </c>
      <c r="EV40">
        <v>62</v>
      </c>
      <c r="EW40">
        <v>358</v>
      </c>
      <c r="EY40">
        <v>203</v>
      </c>
      <c r="EZ40">
        <v>246</v>
      </c>
      <c r="FA40">
        <v>8</v>
      </c>
      <c r="FB40">
        <v>36</v>
      </c>
      <c r="FC40">
        <v>149</v>
      </c>
      <c r="FD40">
        <v>99</v>
      </c>
      <c r="FE40">
        <v>805</v>
      </c>
      <c r="FF40">
        <v>2950</v>
      </c>
      <c r="FI40">
        <v>46</v>
      </c>
      <c r="FJ40">
        <v>258</v>
      </c>
      <c r="FK40">
        <v>19</v>
      </c>
      <c r="FL40">
        <v>82</v>
      </c>
      <c r="FM40">
        <v>1230</v>
      </c>
      <c r="FN40">
        <v>3671</v>
      </c>
      <c r="FO40" s="17">
        <v>1853</v>
      </c>
      <c r="FP40" s="17">
        <v>5200</v>
      </c>
      <c r="FQ40" s="17">
        <v>2.8062601187263896</v>
      </c>
      <c r="FT40">
        <v>98</v>
      </c>
      <c r="FU40">
        <v>626</v>
      </c>
      <c r="FV40">
        <v>6</v>
      </c>
      <c r="FW40">
        <v>23</v>
      </c>
      <c r="FX40">
        <v>1221</v>
      </c>
      <c r="FY40">
        <v>3223</v>
      </c>
      <c r="FZ40">
        <v>442</v>
      </c>
      <c r="GA40">
        <v>1239</v>
      </c>
      <c r="GB40">
        <v>31</v>
      </c>
      <c r="GC40">
        <v>167</v>
      </c>
      <c r="GD40">
        <v>44</v>
      </c>
      <c r="GE40">
        <v>182</v>
      </c>
      <c r="GF40">
        <v>10</v>
      </c>
      <c r="GG40">
        <v>120</v>
      </c>
      <c r="GJ40">
        <v>128</v>
      </c>
    </row>
    <row r="41" spans="1:192" ht="15.75">
      <c r="A41" s="18" t="s">
        <v>315</v>
      </c>
      <c r="B41" t="s">
        <v>41</v>
      </c>
      <c r="C41">
        <v>6</v>
      </c>
      <c r="D41">
        <v>70</v>
      </c>
      <c r="E41">
        <v>27</v>
      </c>
      <c r="F41">
        <v>155</v>
      </c>
      <c r="I41">
        <v>131</v>
      </c>
      <c r="J41">
        <v>387</v>
      </c>
      <c r="K41" s="17">
        <v>164</v>
      </c>
      <c r="L41" s="17">
        <v>612</v>
      </c>
      <c r="M41" s="17">
        <v>3.731707317073171</v>
      </c>
      <c r="N41">
        <v>20</v>
      </c>
      <c r="O41">
        <v>144</v>
      </c>
      <c r="P41">
        <v>372</v>
      </c>
      <c r="Q41">
        <v>1139</v>
      </c>
      <c r="R41">
        <v>80</v>
      </c>
      <c r="S41">
        <v>460</v>
      </c>
      <c r="T41">
        <v>20</v>
      </c>
      <c r="U41">
        <v>114</v>
      </c>
      <c r="V41">
        <v>13</v>
      </c>
      <c r="W41">
        <v>161</v>
      </c>
      <c r="X41">
        <v>8</v>
      </c>
      <c r="Y41">
        <v>42</v>
      </c>
      <c r="Z41">
        <v>27</v>
      </c>
      <c r="AA41">
        <v>184</v>
      </c>
      <c r="AB41" s="17">
        <v>540</v>
      </c>
      <c r="AC41" s="17">
        <v>2244</v>
      </c>
      <c r="AD41" s="17">
        <v>4.155555555555556</v>
      </c>
      <c r="AE41">
        <v>22</v>
      </c>
      <c r="AF41">
        <v>312</v>
      </c>
      <c r="AG41">
        <v>90</v>
      </c>
      <c r="AH41">
        <v>385</v>
      </c>
      <c r="AI41">
        <v>5</v>
      </c>
      <c r="AJ41">
        <v>147</v>
      </c>
      <c r="AK41">
        <v>18</v>
      </c>
      <c r="AL41">
        <v>60</v>
      </c>
      <c r="AM41" s="17">
        <v>135</v>
      </c>
      <c r="AN41" s="17">
        <v>904</v>
      </c>
      <c r="AO41" s="17">
        <v>6.696296296296296</v>
      </c>
      <c r="AP41">
        <v>9</v>
      </c>
      <c r="AQ41">
        <v>135</v>
      </c>
      <c r="AR41">
        <v>22</v>
      </c>
      <c r="AS41">
        <v>587</v>
      </c>
      <c r="AT41">
        <v>1</v>
      </c>
      <c r="AU41">
        <v>4</v>
      </c>
      <c r="AV41">
        <v>35</v>
      </c>
      <c r="AW41">
        <v>389</v>
      </c>
      <c r="AZ41">
        <v>5</v>
      </c>
      <c r="BA41">
        <v>61</v>
      </c>
      <c r="BB41">
        <v>3</v>
      </c>
      <c r="BC41">
        <v>71</v>
      </c>
      <c r="BD41" s="17">
        <v>75</v>
      </c>
      <c r="BE41" s="17">
        <v>1247</v>
      </c>
      <c r="BF41" s="17">
        <v>16.626666666666665</v>
      </c>
      <c r="BG41">
        <v>7</v>
      </c>
      <c r="BH41">
        <v>26</v>
      </c>
      <c r="BI41">
        <v>44</v>
      </c>
      <c r="BJ41">
        <v>453</v>
      </c>
      <c r="BK41">
        <v>51</v>
      </c>
      <c r="BL41">
        <v>479</v>
      </c>
      <c r="BP41">
        <v>1022</v>
      </c>
      <c r="BQ41">
        <v>10196</v>
      </c>
      <c r="BT41">
        <v>272</v>
      </c>
      <c r="BU41">
        <v>1454</v>
      </c>
      <c r="BX41">
        <v>5</v>
      </c>
      <c r="BY41">
        <v>2700</v>
      </c>
      <c r="CF41">
        <v>12</v>
      </c>
      <c r="CG41">
        <v>125</v>
      </c>
      <c r="CP41">
        <v>24</v>
      </c>
      <c r="CQ41">
        <v>137</v>
      </c>
      <c r="CR41">
        <v>1335</v>
      </c>
      <c r="CS41">
        <v>14612</v>
      </c>
      <c r="CU41">
        <v>18</v>
      </c>
      <c r="CV41">
        <v>669</v>
      </c>
      <c r="DC41">
        <v>36</v>
      </c>
      <c r="DD41">
        <v>433</v>
      </c>
      <c r="DE41">
        <v>17</v>
      </c>
      <c r="DF41">
        <v>117</v>
      </c>
      <c r="DG41">
        <v>71</v>
      </c>
      <c r="DH41">
        <v>1219</v>
      </c>
      <c r="DI41" s="17">
        <v>1386</v>
      </c>
      <c r="DJ41" s="17">
        <v>15091</v>
      </c>
      <c r="DK41" s="17">
        <v>10.888167388167389</v>
      </c>
      <c r="DO41">
        <v>3</v>
      </c>
      <c r="DP41">
        <v>14</v>
      </c>
      <c r="DQ41">
        <v>5</v>
      </c>
      <c r="DR41">
        <v>67</v>
      </c>
      <c r="DS41">
        <v>8</v>
      </c>
      <c r="DT41">
        <v>81</v>
      </c>
      <c r="DV41">
        <v>1</v>
      </c>
      <c r="DW41">
        <v>4</v>
      </c>
      <c r="DX41">
        <v>64</v>
      </c>
      <c r="DY41">
        <v>267</v>
      </c>
      <c r="DZ41">
        <v>230</v>
      </c>
      <c r="EA41">
        <v>465</v>
      </c>
      <c r="EB41">
        <v>295</v>
      </c>
      <c r="EC41">
        <v>736</v>
      </c>
      <c r="EE41">
        <v>2</v>
      </c>
      <c r="EF41">
        <v>12</v>
      </c>
      <c r="EI41">
        <v>35</v>
      </c>
      <c r="EJ41">
        <v>137</v>
      </c>
      <c r="EK41">
        <v>37</v>
      </c>
      <c r="EL41">
        <v>149</v>
      </c>
      <c r="EN41">
        <v>3</v>
      </c>
      <c r="EO41">
        <v>7</v>
      </c>
      <c r="EP41">
        <v>10</v>
      </c>
      <c r="EQ41">
        <v>21</v>
      </c>
      <c r="ER41">
        <v>18</v>
      </c>
      <c r="ES41">
        <v>67</v>
      </c>
      <c r="ET41">
        <v>7</v>
      </c>
      <c r="EU41">
        <v>53</v>
      </c>
      <c r="EV41">
        <v>38</v>
      </c>
      <c r="EW41">
        <v>148</v>
      </c>
      <c r="EY41">
        <v>148</v>
      </c>
      <c r="EZ41">
        <v>335</v>
      </c>
      <c r="FA41">
        <v>2</v>
      </c>
      <c r="FB41">
        <v>6</v>
      </c>
      <c r="FC41">
        <v>57</v>
      </c>
      <c r="FD41">
        <v>58</v>
      </c>
      <c r="FE41">
        <v>775</v>
      </c>
      <c r="FF41">
        <v>2569</v>
      </c>
      <c r="FI41">
        <v>16</v>
      </c>
      <c r="FJ41">
        <v>77</v>
      </c>
      <c r="FK41">
        <v>26</v>
      </c>
      <c r="FL41">
        <v>111</v>
      </c>
      <c r="FM41">
        <v>1024</v>
      </c>
      <c r="FN41">
        <v>3156</v>
      </c>
      <c r="FO41" s="17">
        <v>1402</v>
      </c>
      <c r="FP41" s="17">
        <v>4270</v>
      </c>
      <c r="FQ41" s="17">
        <v>3.0456490727532097</v>
      </c>
      <c r="FT41">
        <v>31</v>
      </c>
      <c r="FU41">
        <v>303</v>
      </c>
      <c r="FV41">
        <v>8</v>
      </c>
      <c r="FW41">
        <v>67</v>
      </c>
      <c r="FX41">
        <v>530</v>
      </c>
      <c r="FY41">
        <v>1651</v>
      </c>
      <c r="FZ41">
        <v>459</v>
      </c>
      <c r="GA41">
        <v>1304</v>
      </c>
      <c r="GB41">
        <v>51</v>
      </c>
      <c r="GC41">
        <v>230</v>
      </c>
      <c r="GD41">
        <v>60</v>
      </c>
      <c r="GE41">
        <v>277</v>
      </c>
      <c r="GF41">
        <v>3</v>
      </c>
      <c r="GG41">
        <v>19</v>
      </c>
      <c r="GJ41">
        <v>101</v>
      </c>
    </row>
    <row r="42" spans="1:192" ht="15.75">
      <c r="A42" s="18" t="s">
        <v>316</v>
      </c>
      <c r="B42" t="s">
        <v>42</v>
      </c>
      <c r="E42">
        <v>19</v>
      </c>
      <c r="F42">
        <v>73</v>
      </c>
      <c r="I42">
        <v>112</v>
      </c>
      <c r="J42">
        <v>255</v>
      </c>
      <c r="K42" s="17">
        <v>131</v>
      </c>
      <c r="L42" s="17">
        <v>328</v>
      </c>
      <c r="M42" s="17">
        <v>2.50381679389313</v>
      </c>
      <c r="N42">
        <v>38</v>
      </c>
      <c r="O42">
        <v>471</v>
      </c>
      <c r="P42">
        <v>575</v>
      </c>
      <c r="Q42">
        <v>1329</v>
      </c>
      <c r="R42">
        <v>64</v>
      </c>
      <c r="S42">
        <v>179</v>
      </c>
      <c r="T42">
        <v>10</v>
      </c>
      <c r="U42">
        <v>786</v>
      </c>
      <c r="V42">
        <v>9</v>
      </c>
      <c r="W42">
        <v>59</v>
      </c>
      <c r="X42">
        <v>17</v>
      </c>
      <c r="Y42">
        <v>167</v>
      </c>
      <c r="Z42">
        <v>13</v>
      </c>
      <c r="AA42">
        <v>61</v>
      </c>
      <c r="AB42" s="17">
        <v>726</v>
      </c>
      <c r="AC42" s="17">
        <v>3052</v>
      </c>
      <c r="AD42" s="17">
        <v>4.203856749311295</v>
      </c>
      <c r="AE42">
        <v>12</v>
      </c>
      <c r="AF42">
        <v>120</v>
      </c>
      <c r="AG42">
        <v>179</v>
      </c>
      <c r="AH42">
        <v>133</v>
      </c>
      <c r="AI42">
        <v>5</v>
      </c>
      <c r="AJ42">
        <v>526</v>
      </c>
      <c r="AK42">
        <v>12</v>
      </c>
      <c r="AL42">
        <v>165</v>
      </c>
      <c r="AM42" s="17">
        <v>208</v>
      </c>
      <c r="AN42" s="17">
        <v>944</v>
      </c>
      <c r="AO42" s="17">
        <v>4.538461538461538</v>
      </c>
      <c r="AP42">
        <v>4</v>
      </c>
      <c r="AQ42">
        <v>19</v>
      </c>
      <c r="AR42">
        <v>21</v>
      </c>
      <c r="AS42">
        <v>521</v>
      </c>
      <c r="AT42">
        <v>11</v>
      </c>
      <c r="AU42">
        <v>26</v>
      </c>
      <c r="AV42">
        <v>16</v>
      </c>
      <c r="AW42">
        <v>107</v>
      </c>
      <c r="BB42">
        <v>4</v>
      </c>
      <c r="BC42">
        <v>40</v>
      </c>
      <c r="BD42" s="17">
        <v>56</v>
      </c>
      <c r="BE42" s="17">
        <v>713</v>
      </c>
      <c r="BF42" s="17">
        <v>12.732142857142858</v>
      </c>
      <c r="BG42">
        <v>4</v>
      </c>
      <c r="BH42">
        <v>7</v>
      </c>
      <c r="BI42">
        <v>41</v>
      </c>
      <c r="BJ42">
        <v>116</v>
      </c>
      <c r="BK42">
        <v>45</v>
      </c>
      <c r="BL42">
        <v>123</v>
      </c>
      <c r="BP42">
        <v>592</v>
      </c>
      <c r="BQ42">
        <v>3002</v>
      </c>
      <c r="BT42">
        <v>73</v>
      </c>
      <c r="BU42">
        <v>467</v>
      </c>
      <c r="CF42">
        <v>7</v>
      </c>
      <c r="CG42">
        <v>119</v>
      </c>
      <c r="CP42">
        <v>10</v>
      </c>
      <c r="CQ42">
        <v>122</v>
      </c>
      <c r="CR42">
        <v>682</v>
      </c>
      <c r="CS42">
        <v>3710</v>
      </c>
      <c r="CU42">
        <v>14</v>
      </c>
      <c r="CV42">
        <v>235</v>
      </c>
      <c r="DA42">
        <v>2</v>
      </c>
      <c r="DB42">
        <v>10</v>
      </c>
      <c r="DC42">
        <v>37</v>
      </c>
      <c r="DD42">
        <v>401</v>
      </c>
      <c r="DE42">
        <v>4</v>
      </c>
      <c r="DF42">
        <v>99</v>
      </c>
      <c r="DG42">
        <v>57</v>
      </c>
      <c r="DH42">
        <v>745</v>
      </c>
      <c r="DI42" s="17">
        <v>727</v>
      </c>
      <c r="DJ42" s="17">
        <v>3833</v>
      </c>
      <c r="DK42" s="17">
        <v>5.272352132049519</v>
      </c>
      <c r="DO42">
        <v>5</v>
      </c>
      <c r="DP42">
        <v>7</v>
      </c>
      <c r="DQ42">
        <v>65</v>
      </c>
      <c r="DR42">
        <v>187</v>
      </c>
      <c r="DS42">
        <v>70</v>
      </c>
      <c r="DT42">
        <v>194</v>
      </c>
      <c r="DX42">
        <v>24</v>
      </c>
      <c r="DY42">
        <v>91</v>
      </c>
      <c r="DZ42">
        <v>127</v>
      </c>
      <c r="EA42">
        <v>195</v>
      </c>
      <c r="EB42">
        <v>151</v>
      </c>
      <c r="EC42">
        <v>286</v>
      </c>
      <c r="EE42">
        <v>2</v>
      </c>
      <c r="EF42">
        <v>17</v>
      </c>
      <c r="EI42">
        <v>28</v>
      </c>
      <c r="EJ42">
        <v>137</v>
      </c>
      <c r="EK42">
        <v>30</v>
      </c>
      <c r="EL42">
        <v>154</v>
      </c>
      <c r="EN42">
        <v>6</v>
      </c>
      <c r="EO42">
        <v>12</v>
      </c>
      <c r="ER42">
        <v>8</v>
      </c>
      <c r="ES42">
        <v>25</v>
      </c>
      <c r="ET42">
        <v>1</v>
      </c>
      <c r="EU42">
        <v>6</v>
      </c>
      <c r="EV42">
        <v>15</v>
      </c>
      <c r="EW42">
        <v>43</v>
      </c>
      <c r="EY42">
        <v>13</v>
      </c>
      <c r="EZ42">
        <v>15</v>
      </c>
      <c r="FA42">
        <v>1</v>
      </c>
      <c r="FB42">
        <v>1</v>
      </c>
      <c r="FC42">
        <v>4</v>
      </c>
      <c r="FD42">
        <v>2</v>
      </c>
      <c r="FE42">
        <v>346</v>
      </c>
      <c r="FF42">
        <v>966</v>
      </c>
      <c r="FI42">
        <v>13</v>
      </c>
      <c r="FJ42">
        <v>27</v>
      </c>
      <c r="FK42">
        <v>6</v>
      </c>
      <c r="FL42">
        <v>23</v>
      </c>
      <c r="FM42">
        <v>383</v>
      </c>
      <c r="FN42">
        <v>1034</v>
      </c>
      <c r="FO42" s="17">
        <v>649</v>
      </c>
      <c r="FP42" s="17">
        <v>1711</v>
      </c>
      <c r="FQ42" s="17">
        <v>2.6363636363636362</v>
      </c>
      <c r="FT42">
        <v>227</v>
      </c>
      <c r="FU42">
        <v>654</v>
      </c>
      <c r="FV42">
        <v>1</v>
      </c>
      <c r="FW42">
        <v>3</v>
      </c>
      <c r="FX42">
        <v>233</v>
      </c>
      <c r="FY42">
        <v>680</v>
      </c>
      <c r="FZ42">
        <v>596</v>
      </c>
      <c r="GA42">
        <v>1084</v>
      </c>
      <c r="GB42">
        <v>33</v>
      </c>
      <c r="GC42">
        <v>124</v>
      </c>
      <c r="GD42">
        <v>25</v>
      </c>
      <c r="GE42">
        <v>126</v>
      </c>
      <c r="GF42">
        <v>2</v>
      </c>
      <c r="GG42">
        <v>7</v>
      </c>
      <c r="GJ42">
        <v>176</v>
      </c>
    </row>
    <row r="43" spans="1:192" ht="15.75">
      <c r="A43" s="18" t="s">
        <v>317</v>
      </c>
      <c r="B43" t="s">
        <v>43</v>
      </c>
      <c r="E43">
        <v>20</v>
      </c>
      <c r="F43">
        <v>71</v>
      </c>
      <c r="I43">
        <v>183</v>
      </c>
      <c r="J43">
        <v>312</v>
      </c>
      <c r="K43" s="17">
        <v>203</v>
      </c>
      <c r="L43" s="17">
        <v>383</v>
      </c>
      <c r="M43" s="17">
        <v>1.8866995073891626</v>
      </c>
      <c r="N43">
        <v>12</v>
      </c>
      <c r="O43">
        <v>319</v>
      </c>
      <c r="P43">
        <v>343</v>
      </c>
      <c r="Q43">
        <v>629</v>
      </c>
      <c r="R43">
        <v>36</v>
      </c>
      <c r="S43">
        <v>119</v>
      </c>
      <c r="T43">
        <v>13</v>
      </c>
      <c r="U43">
        <v>114</v>
      </c>
      <c r="V43">
        <v>9</v>
      </c>
      <c r="W43">
        <v>51</v>
      </c>
      <c r="X43">
        <v>9</v>
      </c>
      <c r="Y43">
        <v>29</v>
      </c>
      <c r="Z43">
        <v>13</v>
      </c>
      <c r="AA43">
        <v>34</v>
      </c>
      <c r="AB43" s="17">
        <v>435</v>
      </c>
      <c r="AC43" s="17">
        <v>1295</v>
      </c>
      <c r="AD43" s="17">
        <v>2.9770114942528734</v>
      </c>
      <c r="AE43">
        <v>14</v>
      </c>
      <c r="AF43">
        <v>36</v>
      </c>
      <c r="AG43">
        <v>40</v>
      </c>
      <c r="AH43">
        <v>507</v>
      </c>
      <c r="AI43">
        <v>2</v>
      </c>
      <c r="AJ43">
        <v>235</v>
      </c>
      <c r="AK43">
        <v>4</v>
      </c>
      <c r="AL43">
        <v>12</v>
      </c>
      <c r="AM43" s="17">
        <v>60</v>
      </c>
      <c r="AN43" s="17">
        <v>790</v>
      </c>
      <c r="AO43" s="17">
        <v>13.166666666666666</v>
      </c>
      <c r="AP43">
        <v>6</v>
      </c>
      <c r="AQ43">
        <v>46</v>
      </c>
      <c r="AR43">
        <v>17</v>
      </c>
      <c r="AS43">
        <v>219</v>
      </c>
      <c r="AT43">
        <v>4</v>
      </c>
      <c r="AU43">
        <v>35</v>
      </c>
      <c r="AV43">
        <v>18</v>
      </c>
      <c r="AW43">
        <v>103</v>
      </c>
      <c r="BB43">
        <v>6</v>
      </c>
      <c r="BC43">
        <v>11</v>
      </c>
      <c r="BD43" s="17">
        <v>51</v>
      </c>
      <c r="BE43" s="17">
        <v>414</v>
      </c>
      <c r="BF43" s="17">
        <v>8.117647058823529</v>
      </c>
      <c r="BG43">
        <v>21</v>
      </c>
      <c r="BH43">
        <v>27</v>
      </c>
      <c r="BI43">
        <v>7</v>
      </c>
      <c r="BJ43">
        <v>20</v>
      </c>
      <c r="BK43">
        <v>28</v>
      </c>
      <c r="BL43">
        <v>47</v>
      </c>
      <c r="BP43">
        <v>641</v>
      </c>
      <c r="BQ43">
        <v>2666</v>
      </c>
      <c r="BT43">
        <v>106</v>
      </c>
      <c r="BU43">
        <v>721</v>
      </c>
      <c r="CF43">
        <v>7</v>
      </c>
      <c r="CG43">
        <v>21</v>
      </c>
      <c r="CP43">
        <v>6</v>
      </c>
      <c r="CQ43">
        <v>28</v>
      </c>
      <c r="CR43">
        <v>760</v>
      </c>
      <c r="CS43">
        <v>3436</v>
      </c>
      <c r="CU43">
        <v>33</v>
      </c>
      <c r="CV43">
        <v>448</v>
      </c>
      <c r="DC43">
        <v>132</v>
      </c>
      <c r="DD43">
        <v>2051</v>
      </c>
      <c r="DE43">
        <v>1</v>
      </c>
      <c r="DF43">
        <v>12</v>
      </c>
      <c r="DG43">
        <v>166</v>
      </c>
      <c r="DH43">
        <v>2511</v>
      </c>
      <c r="DI43" s="17">
        <v>788</v>
      </c>
      <c r="DJ43" s="17">
        <v>3483</v>
      </c>
      <c r="DK43" s="17">
        <v>4.42005076142132</v>
      </c>
      <c r="DO43">
        <v>7</v>
      </c>
      <c r="DP43">
        <v>10</v>
      </c>
      <c r="DQ43">
        <v>13</v>
      </c>
      <c r="DR43">
        <v>23</v>
      </c>
      <c r="DS43">
        <v>20</v>
      </c>
      <c r="DT43">
        <v>33</v>
      </c>
      <c r="DV43">
        <v>2</v>
      </c>
      <c r="DW43">
        <v>10</v>
      </c>
      <c r="DX43">
        <v>27</v>
      </c>
      <c r="DY43">
        <v>77</v>
      </c>
      <c r="DZ43">
        <v>70</v>
      </c>
      <c r="EA43">
        <v>117</v>
      </c>
      <c r="EB43">
        <v>99</v>
      </c>
      <c r="EC43">
        <v>204</v>
      </c>
      <c r="EE43">
        <v>3</v>
      </c>
      <c r="EF43">
        <v>30</v>
      </c>
      <c r="EI43">
        <v>55</v>
      </c>
      <c r="EJ43">
        <v>317</v>
      </c>
      <c r="EK43">
        <v>58</v>
      </c>
      <c r="EL43">
        <v>347</v>
      </c>
      <c r="EN43">
        <v>7</v>
      </c>
      <c r="EO43">
        <v>20</v>
      </c>
      <c r="ER43">
        <v>4</v>
      </c>
      <c r="ES43">
        <v>13</v>
      </c>
      <c r="ET43">
        <v>1</v>
      </c>
      <c r="EU43">
        <v>5</v>
      </c>
      <c r="EV43">
        <v>12</v>
      </c>
      <c r="EW43">
        <v>38</v>
      </c>
      <c r="EY43">
        <v>4</v>
      </c>
      <c r="EZ43">
        <v>8</v>
      </c>
      <c r="FA43">
        <v>2</v>
      </c>
      <c r="FB43">
        <v>7</v>
      </c>
      <c r="FC43">
        <v>20</v>
      </c>
      <c r="FD43">
        <v>42</v>
      </c>
      <c r="FE43">
        <v>200</v>
      </c>
      <c r="FF43">
        <v>604</v>
      </c>
      <c r="FI43">
        <v>9</v>
      </c>
      <c r="FJ43">
        <v>34</v>
      </c>
      <c r="FK43">
        <v>14</v>
      </c>
      <c r="FL43">
        <v>43</v>
      </c>
      <c r="FM43">
        <v>249</v>
      </c>
      <c r="FN43">
        <v>738</v>
      </c>
      <c r="FO43" s="17">
        <v>438</v>
      </c>
      <c r="FP43" s="17">
        <v>1360</v>
      </c>
      <c r="FQ43" s="17">
        <v>3.105022831050228</v>
      </c>
      <c r="FT43">
        <v>73</v>
      </c>
      <c r="FU43">
        <v>406</v>
      </c>
      <c r="FV43">
        <v>5</v>
      </c>
      <c r="FW43">
        <v>8</v>
      </c>
      <c r="FX43">
        <v>186</v>
      </c>
      <c r="FY43">
        <v>440</v>
      </c>
      <c r="FZ43">
        <v>300</v>
      </c>
      <c r="GA43">
        <v>693</v>
      </c>
      <c r="GB43">
        <v>24</v>
      </c>
      <c r="GC43">
        <v>77</v>
      </c>
      <c r="GD43">
        <v>16</v>
      </c>
      <c r="GE43">
        <v>54</v>
      </c>
      <c r="GF43">
        <v>4</v>
      </c>
      <c r="GG43">
        <v>11</v>
      </c>
      <c r="GJ43">
        <v>60</v>
      </c>
    </row>
    <row r="44" spans="1:192" ht="15.75">
      <c r="A44" s="18" t="s">
        <v>318</v>
      </c>
      <c r="B44" t="s">
        <v>44</v>
      </c>
      <c r="C44">
        <v>4</v>
      </c>
      <c r="D44">
        <v>7</v>
      </c>
      <c r="E44">
        <v>23</v>
      </c>
      <c r="F44">
        <v>173</v>
      </c>
      <c r="I44">
        <v>70</v>
      </c>
      <c r="J44">
        <v>192</v>
      </c>
      <c r="K44" s="17">
        <v>97</v>
      </c>
      <c r="L44" s="17">
        <v>372</v>
      </c>
      <c r="M44" s="17">
        <v>3.8350515463917527</v>
      </c>
      <c r="N44">
        <v>45</v>
      </c>
      <c r="O44">
        <v>7537</v>
      </c>
      <c r="P44">
        <v>479</v>
      </c>
      <c r="Q44">
        <v>1298</v>
      </c>
      <c r="R44">
        <v>63</v>
      </c>
      <c r="S44">
        <v>354</v>
      </c>
      <c r="T44">
        <v>16</v>
      </c>
      <c r="U44">
        <v>103</v>
      </c>
      <c r="V44">
        <v>14</v>
      </c>
      <c r="W44">
        <v>100</v>
      </c>
      <c r="X44">
        <v>12</v>
      </c>
      <c r="Y44">
        <v>80</v>
      </c>
      <c r="Z44">
        <v>19</v>
      </c>
      <c r="AA44">
        <v>134</v>
      </c>
      <c r="AB44" s="17">
        <v>648</v>
      </c>
      <c r="AC44" s="17">
        <v>9606</v>
      </c>
      <c r="AD44" s="17">
        <v>14.824074074074074</v>
      </c>
      <c r="AE44">
        <v>3</v>
      </c>
      <c r="AF44">
        <v>35</v>
      </c>
      <c r="AG44">
        <v>41</v>
      </c>
      <c r="AH44">
        <v>119</v>
      </c>
      <c r="AK44">
        <v>18</v>
      </c>
      <c r="AL44">
        <v>119</v>
      </c>
      <c r="AM44" s="17">
        <v>62</v>
      </c>
      <c r="AN44" s="17">
        <v>273</v>
      </c>
      <c r="AO44" s="17">
        <v>4.403225806451613</v>
      </c>
      <c r="AR44">
        <v>13</v>
      </c>
      <c r="AS44">
        <v>206</v>
      </c>
      <c r="AT44">
        <v>36</v>
      </c>
      <c r="AU44">
        <v>199</v>
      </c>
      <c r="AV44">
        <v>30</v>
      </c>
      <c r="AW44">
        <v>335</v>
      </c>
      <c r="AX44">
        <v>1</v>
      </c>
      <c r="AY44">
        <v>179</v>
      </c>
      <c r="AZ44">
        <v>1</v>
      </c>
      <c r="BA44">
        <v>12</v>
      </c>
      <c r="BD44" s="17">
        <v>81</v>
      </c>
      <c r="BE44" s="17">
        <v>931</v>
      </c>
      <c r="BF44" s="17">
        <v>11.493827160493828</v>
      </c>
      <c r="BG44">
        <v>4</v>
      </c>
      <c r="BH44">
        <v>55</v>
      </c>
      <c r="BI44">
        <v>6</v>
      </c>
      <c r="BJ44">
        <v>29</v>
      </c>
      <c r="BK44">
        <v>10</v>
      </c>
      <c r="BL44">
        <v>84</v>
      </c>
      <c r="BP44">
        <v>143</v>
      </c>
      <c r="BQ44">
        <v>3632</v>
      </c>
      <c r="BT44">
        <v>25</v>
      </c>
      <c r="BU44">
        <v>264</v>
      </c>
      <c r="CF44">
        <v>8</v>
      </c>
      <c r="CG44">
        <v>112</v>
      </c>
      <c r="CP44">
        <v>11</v>
      </c>
      <c r="CQ44">
        <v>104</v>
      </c>
      <c r="CR44">
        <v>187</v>
      </c>
      <c r="CS44">
        <v>4112</v>
      </c>
      <c r="CU44">
        <v>2</v>
      </c>
      <c r="CV44">
        <v>77</v>
      </c>
      <c r="DC44">
        <v>17</v>
      </c>
      <c r="DD44">
        <v>370</v>
      </c>
      <c r="DE44">
        <v>7</v>
      </c>
      <c r="DF44">
        <v>39</v>
      </c>
      <c r="DG44">
        <v>26</v>
      </c>
      <c r="DH44">
        <v>486</v>
      </c>
      <c r="DI44" s="17">
        <v>197</v>
      </c>
      <c r="DJ44" s="17">
        <v>4196</v>
      </c>
      <c r="DK44" s="17">
        <v>21.299492385786802</v>
      </c>
      <c r="DQ44">
        <v>44</v>
      </c>
      <c r="DR44">
        <v>128</v>
      </c>
      <c r="DS44">
        <v>44</v>
      </c>
      <c r="DT44">
        <v>128</v>
      </c>
      <c r="DX44">
        <v>22</v>
      </c>
      <c r="DY44">
        <v>72</v>
      </c>
      <c r="DZ44">
        <v>17</v>
      </c>
      <c r="EA44">
        <v>38</v>
      </c>
      <c r="EB44">
        <v>39</v>
      </c>
      <c r="EC44">
        <v>110</v>
      </c>
      <c r="EE44">
        <v>3</v>
      </c>
      <c r="EF44">
        <v>15</v>
      </c>
      <c r="EI44">
        <v>37</v>
      </c>
      <c r="EJ44">
        <v>195</v>
      </c>
      <c r="EK44">
        <v>40</v>
      </c>
      <c r="EL44">
        <v>210</v>
      </c>
      <c r="EN44">
        <v>15</v>
      </c>
      <c r="EO44">
        <v>67</v>
      </c>
      <c r="ER44">
        <v>4</v>
      </c>
      <c r="ES44">
        <v>18</v>
      </c>
      <c r="ET44">
        <v>7</v>
      </c>
      <c r="EU44">
        <v>57</v>
      </c>
      <c r="EV44">
        <v>26</v>
      </c>
      <c r="EW44">
        <v>142</v>
      </c>
      <c r="FA44">
        <v>1</v>
      </c>
      <c r="FB44">
        <v>1</v>
      </c>
      <c r="FC44">
        <v>49</v>
      </c>
      <c r="FD44">
        <v>51</v>
      </c>
      <c r="FE44">
        <v>386</v>
      </c>
      <c r="FF44">
        <v>1252</v>
      </c>
      <c r="FG44">
        <v>53</v>
      </c>
      <c r="FH44">
        <v>100</v>
      </c>
      <c r="FI44">
        <v>7</v>
      </c>
      <c r="FJ44">
        <v>45</v>
      </c>
      <c r="FK44">
        <v>5</v>
      </c>
      <c r="FL44">
        <v>17</v>
      </c>
      <c r="FM44">
        <v>501</v>
      </c>
      <c r="FN44">
        <v>1466</v>
      </c>
      <c r="FO44" s="17">
        <v>650</v>
      </c>
      <c r="FP44" s="17">
        <v>2056</v>
      </c>
      <c r="FQ44" s="17">
        <v>3.163076923076923</v>
      </c>
      <c r="FT44">
        <v>150</v>
      </c>
      <c r="FU44">
        <v>655</v>
      </c>
      <c r="FV44">
        <v>12</v>
      </c>
      <c r="FW44">
        <v>36</v>
      </c>
      <c r="FX44">
        <v>272</v>
      </c>
      <c r="FY44">
        <v>765</v>
      </c>
      <c r="FZ44">
        <v>89</v>
      </c>
      <c r="GA44">
        <v>488</v>
      </c>
      <c r="GB44">
        <v>26</v>
      </c>
      <c r="GC44">
        <v>108</v>
      </c>
      <c r="GD44">
        <v>24</v>
      </c>
      <c r="GE44">
        <v>102</v>
      </c>
      <c r="GF44">
        <v>4</v>
      </c>
      <c r="GG44">
        <v>64</v>
      </c>
      <c r="GJ44">
        <v>80</v>
      </c>
    </row>
    <row r="45" spans="1:192" ht="15.75">
      <c r="A45" s="18" t="s">
        <v>319</v>
      </c>
      <c r="B45" t="s">
        <v>45</v>
      </c>
      <c r="C45">
        <v>1</v>
      </c>
      <c r="D45">
        <v>12</v>
      </c>
      <c r="E45">
        <v>8</v>
      </c>
      <c r="F45">
        <v>30</v>
      </c>
      <c r="I45">
        <v>42</v>
      </c>
      <c r="J45">
        <v>93</v>
      </c>
      <c r="K45" s="17">
        <v>51</v>
      </c>
      <c r="L45" s="17">
        <v>135</v>
      </c>
      <c r="M45" s="17">
        <v>2.6470588235294117</v>
      </c>
      <c r="N45">
        <v>31</v>
      </c>
      <c r="O45">
        <v>3211</v>
      </c>
      <c r="P45">
        <v>297</v>
      </c>
      <c r="Q45">
        <v>784</v>
      </c>
      <c r="R45">
        <v>37</v>
      </c>
      <c r="S45">
        <v>155</v>
      </c>
      <c r="T45">
        <v>33</v>
      </c>
      <c r="U45">
        <v>387</v>
      </c>
      <c r="V45">
        <v>7</v>
      </c>
      <c r="W45">
        <v>72</v>
      </c>
      <c r="X45">
        <v>7</v>
      </c>
      <c r="Y45">
        <v>38</v>
      </c>
      <c r="Z45">
        <v>16</v>
      </c>
      <c r="AA45">
        <v>53</v>
      </c>
      <c r="AB45" s="17">
        <v>428</v>
      </c>
      <c r="AC45" s="17">
        <v>4700</v>
      </c>
      <c r="AD45" s="17">
        <v>10.981308411214954</v>
      </c>
      <c r="AE45">
        <v>4</v>
      </c>
      <c r="AF45">
        <v>54</v>
      </c>
      <c r="AG45">
        <v>91</v>
      </c>
      <c r="AH45">
        <v>242</v>
      </c>
      <c r="AK45">
        <v>3</v>
      </c>
      <c r="AL45">
        <v>30</v>
      </c>
      <c r="AM45" s="17">
        <v>98</v>
      </c>
      <c r="AN45" s="17">
        <v>326</v>
      </c>
      <c r="AO45" s="17">
        <v>3.326530612244898</v>
      </c>
      <c r="AP45">
        <v>1</v>
      </c>
      <c r="AQ45">
        <v>2</v>
      </c>
      <c r="AR45">
        <v>26</v>
      </c>
      <c r="AS45">
        <v>388</v>
      </c>
      <c r="AT45">
        <v>1</v>
      </c>
      <c r="AU45">
        <v>1</v>
      </c>
      <c r="AV45">
        <v>40</v>
      </c>
      <c r="AW45">
        <v>292</v>
      </c>
      <c r="BB45">
        <v>1</v>
      </c>
      <c r="BC45">
        <v>2</v>
      </c>
      <c r="BD45" s="17">
        <v>69</v>
      </c>
      <c r="BE45" s="17">
        <v>685</v>
      </c>
      <c r="BF45" s="17">
        <v>9.927536231884059</v>
      </c>
      <c r="BI45">
        <v>9</v>
      </c>
      <c r="BJ45">
        <v>43</v>
      </c>
      <c r="BK45">
        <v>9</v>
      </c>
      <c r="BL45">
        <v>43</v>
      </c>
      <c r="BP45">
        <v>256</v>
      </c>
      <c r="BQ45">
        <v>584</v>
      </c>
      <c r="BR45">
        <v>1</v>
      </c>
      <c r="BS45">
        <v>1068</v>
      </c>
      <c r="BT45">
        <v>43</v>
      </c>
      <c r="BU45">
        <v>206</v>
      </c>
      <c r="CF45">
        <v>4</v>
      </c>
      <c r="CG45">
        <v>68</v>
      </c>
      <c r="CP45">
        <v>37</v>
      </c>
      <c r="CQ45">
        <v>110</v>
      </c>
      <c r="CR45">
        <v>341</v>
      </c>
      <c r="CS45">
        <v>2036</v>
      </c>
      <c r="CU45">
        <v>3</v>
      </c>
      <c r="CV45">
        <v>13</v>
      </c>
      <c r="DC45">
        <v>94</v>
      </c>
      <c r="DD45">
        <v>259</v>
      </c>
      <c r="DE45">
        <v>4</v>
      </c>
      <c r="DF45">
        <v>28</v>
      </c>
      <c r="DG45">
        <v>101</v>
      </c>
      <c r="DH45">
        <v>300</v>
      </c>
      <c r="DI45" s="17">
        <v>350</v>
      </c>
      <c r="DJ45" s="17">
        <v>2079</v>
      </c>
      <c r="DK45" s="17">
        <v>5.94</v>
      </c>
      <c r="DO45">
        <v>3</v>
      </c>
      <c r="DP45">
        <v>6</v>
      </c>
      <c r="DQ45">
        <v>8</v>
      </c>
      <c r="DR45">
        <v>28</v>
      </c>
      <c r="DS45">
        <v>11</v>
      </c>
      <c r="DT45">
        <v>34</v>
      </c>
      <c r="DX45">
        <v>16</v>
      </c>
      <c r="DY45">
        <v>51</v>
      </c>
      <c r="DZ45">
        <v>37</v>
      </c>
      <c r="EA45">
        <v>75</v>
      </c>
      <c r="EB45">
        <v>53</v>
      </c>
      <c r="EC45">
        <v>126</v>
      </c>
      <c r="EE45">
        <v>1</v>
      </c>
      <c r="EF45">
        <v>2</v>
      </c>
      <c r="EI45">
        <v>18</v>
      </c>
      <c r="EJ45">
        <v>116</v>
      </c>
      <c r="EK45">
        <v>19</v>
      </c>
      <c r="EL45">
        <v>118</v>
      </c>
      <c r="EN45">
        <v>30</v>
      </c>
      <c r="EO45">
        <v>96</v>
      </c>
      <c r="ET45">
        <v>4</v>
      </c>
      <c r="EU45">
        <v>24</v>
      </c>
      <c r="EV45">
        <v>34</v>
      </c>
      <c r="EW45">
        <v>120</v>
      </c>
      <c r="EY45">
        <v>10</v>
      </c>
      <c r="EZ45">
        <v>22</v>
      </c>
      <c r="FA45">
        <v>1</v>
      </c>
      <c r="FB45">
        <v>2</v>
      </c>
      <c r="FE45">
        <v>179</v>
      </c>
      <c r="FF45">
        <v>613</v>
      </c>
      <c r="FI45">
        <v>8</v>
      </c>
      <c r="FJ45">
        <v>21</v>
      </c>
      <c r="FK45">
        <v>3</v>
      </c>
      <c r="FL45">
        <v>9</v>
      </c>
      <c r="FM45">
        <v>201</v>
      </c>
      <c r="FN45">
        <v>667</v>
      </c>
      <c r="FO45" s="17">
        <v>318</v>
      </c>
      <c r="FP45" s="17">
        <v>1065</v>
      </c>
      <c r="FQ45" s="17">
        <v>3.349056603773585</v>
      </c>
      <c r="FT45">
        <v>66</v>
      </c>
      <c r="FU45">
        <v>338</v>
      </c>
      <c r="FX45">
        <v>298</v>
      </c>
      <c r="FY45">
        <v>1099</v>
      </c>
      <c r="FZ45">
        <v>261</v>
      </c>
      <c r="GA45">
        <v>533</v>
      </c>
      <c r="GB45">
        <v>8</v>
      </c>
      <c r="GC45">
        <v>40</v>
      </c>
      <c r="GD45">
        <v>15</v>
      </c>
      <c r="GE45">
        <v>62</v>
      </c>
      <c r="GF45">
        <v>8</v>
      </c>
      <c r="GG45">
        <v>23</v>
      </c>
      <c r="GJ45">
        <v>69</v>
      </c>
    </row>
    <row r="46" spans="1:192" ht="15.75">
      <c r="A46" s="18" t="s">
        <v>320</v>
      </c>
      <c r="B46" t="s">
        <v>46</v>
      </c>
      <c r="C46">
        <v>1</v>
      </c>
      <c r="D46">
        <v>3</v>
      </c>
      <c r="E46">
        <v>2</v>
      </c>
      <c r="F46">
        <v>5</v>
      </c>
      <c r="I46">
        <v>79</v>
      </c>
      <c r="J46">
        <v>171</v>
      </c>
      <c r="K46" s="17">
        <v>82</v>
      </c>
      <c r="L46" s="17">
        <v>179</v>
      </c>
      <c r="M46" s="17">
        <v>2.182926829268293</v>
      </c>
      <c r="N46">
        <v>35</v>
      </c>
      <c r="O46">
        <v>786</v>
      </c>
      <c r="P46">
        <v>277</v>
      </c>
      <c r="Q46">
        <v>606</v>
      </c>
      <c r="R46">
        <v>39</v>
      </c>
      <c r="S46">
        <v>112</v>
      </c>
      <c r="T46">
        <v>12</v>
      </c>
      <c r="U46">
        <v>58</v>
      </c>
      <c r="V46">
        <v>7</v>
      </c>
      <c r="W46">
        <v>41</v>
      </c>
      <c r="X46">
        <v>9</v>
      </c>
      <c r="Y46">
        <v>27</v>
      </c>
      <c r="Z46">
        <v>23</v>
      </c>
      <c r="AA46">
        <v>89</v>
      </c>
      <c r="AB46" s="17">
        <v>402</v>
      </c>
      <c r="AC46" s="17">
        <v>1719</v>
      </c>
      <c r="AD46" s="17">
        <v>4.276119402985074</v>
      </c>
      <c r="AE46">
        <v>1</v>
      </c>
      <c r="AF46">
        <v>5</v>
      </c>
      <c r="AG46">
        <v>29</v>
      </c>
      <c r="AH46">
        <v>162</v>
      </c>
      <c r="AK46">
        <v>5</v>
      </c>
      <c r="AL46">
        <v>21</v>
      </c>
      <c r="AM46" s="17">
        <v>35</v>
      </c>
      <c r="AN46" s="17">
        <v>188</v>
      </c>
      <c r="AO46" s="17">
        <v>5.371428571428571</v>
      </c>
      <c r="AR46">
        <v>23</v>
      </c>
      <c r="AS46">
        <v>307</v>
      </c>
      <c r="AT46">
        <v>13</v>
      </c>
      <c r="AU46">
        <v>56</v>
      </c>
      <c r="AV46">
        <v>34</v>
      </c>
      <c r="AW46">
        <v>169</v>
      </c>
      <c r="BD46" s="17">
        <v>70</v>
      </c>
      <c r="BE46" s="17">
        <v>532</v>
      </c>
      <c r="BF46" s="17">
        <v>7.6</v>
      </c>
      <c r="BG46">
        <v>2</v>
      </c>
      <c r="BH46">
        <v>5</v>
      </c>
      <c r="BI46">
        <v>1</v>
      </c>
      <c r="BJ46">
        <v>4</v>
      </c>
      <c r="BK46">
        <v>3</v>
      </c>
      <c r="BL46">
        <v>9</v>
      </c>
      <c r="BP46">
        <v>367</v>
      </c>
      <c r="BQ46">
        <v>1306</v>
      </c>
      <c r="BT46">
        <v>132</v>
      </c>
      <c r="BU46">
        <v>418</v>
      </c>
      <c r="CF46">
        <v>8</v>
      </c>
      <c r="CG46">
        <v>48</v>
      </c>
      <c r="CP46">
        <v>7</v>
      </c>
      <c r="CQ46">
        <v>43</v>
      </c>
      <c r="CR46">
        <v>514</v>
      </c>
      <c r="CS46">
        <v>1815</v>
      </c>
      <c r="CU46">
        <v>16</v>
      </c>
      <c r="CV46">
        <v>174</v>
      </c>
      <c r="DC46">
        <v>376</v>
      </c>
      <c r="DD46">
        <v>1378</v>
      </c>
      <c r="DE46">
        <v>3</v>
      </c>
      <c r="DF46">
        <v>8</v>
      </c>
      <c r="DG46">
        <v>395</v>
      </c>
      <c r="DH46">
        <v>1560</v>
      </c>
      <c r="DI46" s="17">
        <v>517</v>
      </c>
      <c r="DJ46" s="17">
        <v>1824</v>
      </c>
      <c r="DK46" s="17">
        <v>3.528046421663443</v>
      </c>
      <c r="DO46">
        <v>1</v>
      </c>
      <c r="DP46">
        <v>4</v>
      </c>
      <c r="DS46">
        <v>1</v>
      </c>
      <c r="DT46">
        <v>4</v>
      </c>
      <c r="DX46">
        <v>15</v>
      </c>
      <c r="DY46">
        <v>47</v>
      </c>
      <c r="DZ46">
        <v>31</v>
      </c>
      <c r="EA46">
        <v>69</v>
      </c>
      <c r="EB46">
        <v>46</v>
      </c>
      <c r="EC46">
        <v>116</v>
      </c>
      <c r="EE46">
        <v>3</v>
      </c>
      <c r="EF46">
        <v>24</v>
      </c>
      <c r="EI46">
        <v>7</v>
      </c>
      <c r="EJ46">
        <v>32</v>
      </c>
      <c r="EK46">
        <v>10</v>
      </c>
      <c r="EL46">
        <v>56</v>
      </c>
      <c r="EN46">
        <v>4</v>
      </c>
      <c r="EO46">
        <v>6</v>
      </c>
      <c r="ER46">
        <v>5</v>
      </c>
      <c r="ES46">
        <v>20</v>
      </c>
      <c r="ET46">
        <v>1</v>
      </c>
      <c r="EU46">
        <v>2</v>
      </c>
      <c r="EV46">
        <v>10</v>
      </c>
      <c r="EW46">
        <v>28</v>
      </c>
      <c r="FC46">
        <v>1</v>
      </c>
      <c r="FD46">
        <v>1</v>
      </c>
      <c r="FE46">
        <v>340</v>
      </c>
      <c r="FF46">
        <v>992</v>
      </c>
      <c r="FG46">
        <v>28</v>
      </c>
      <c r="FH46">
        <v>71</v>
      </c>
      <c r="FI46">
        <v>5</v>
      </c>
      <c r="FJ46">
        <v>19</v>
      </c>
      <c r="FK46">
        <v>11</v>
      </c>
      <c r="FL46">
        <v>22</v>
      </c>
      <c r="FM46">
        <v>385</v>
      </c>
      <c r="FN46">
        <v>1105</v>
      </c>
      <c r="FO46" s="17">
        <v>452</v>
      </c>
      <c r="FP46" s="17">
        <v>1309</v>
      </c>
      <c r="FQ46" s="17">
        <v>2.896017699115044</v>
      </c>
      <c r="FT46">
        <v>10</v>
      </c>
      <c r="FU46">
        <v>33</v>
      </c>
      <c r="FV46">
        <v>113</v>
      </c>
      <c r="FW46">
        <v>267</v>
      </c>
      <c r="FX46">
        <v>423</v>
      </c>
      <c r="FY46">
        <v>958</v>
      </c>
      <c r="FZ46">
        <v>133</v>
      </c>
      <c r="GA46">
        <v>348</v>
      </c>
      <c r="GB46">
        <v>25</v>
      </c>
      <c r="GC46">
        <v>56</v>
      </c>
      <c r="GD46">
        <v>8</v>
      </c>
      <c r="GE46">
        <v>24</v>
      </c>
      <c r="GJ46">
        <v>85</v>
      </c>
    </row>
    <row r="47" spans="1:192" ht="15.75">
      <c r="A47" s="18" t="s">
        <v>321</v>
      </c>
      <c r="B47" t="s">
        <v>47</v>
      </c>
      <c r="E47">
        <v>3</v>
      </c>
      <c r="F47">
        <v>15</v>
      </c>
      <c r="I47">
        <v>31</v>
      </c>
      <c r="J47">
        <v>125</v>
      </c>
      <c r="K47" s="17">
        <v>34</v>
      </c>
      <c r="L47" s="17">
        <v>140</v>
      </c>
      <c r="M47" s="17">
        <v>4.117647058823529</v>
      </c>
      <c r="N47">
        <v>2</v>
      </c>
      <c r="O47">
        <v>7</v>
      </c>
      <c r="P47">
        <v>71</v>
      </c>
      <c r="Q47">
        <v>451</v>
      </c>
      <c r="R47">
        <v>17</v>
      </c>
      <c r="S47">
        <v>65</v>
      </c>
      <c r="T47">
        <v>6</v>
      </c>
      <c r="U47">
        <v>33</v>
      </c>
      <c r="X47">
        <v>1</v>
      </c>
      <c r="Y47">
        <v>2</v>
      </c>
      <c r="Z47">
        <v>3</v>
      </c>
      <c r="AA47">
        <v>19</v>
      </c>
      <c r="AB47" s="17">
        <v>100</v>
      </c>
      <c r="AC47" s="17">
        <v>577</v>
      </c>
      <c r="AD47" s="17">
        <v>5.77</v>
      </c>
      <c r="AG47">
        <v>32</v>
      </c>
      <c r="AH47">
        <v>264</v>
      </c>
      <c r="AK47">
        <v>6</v>
      </c>
      <c r="AL47">
        <v>33</v>
      </c>
      <c r="AM47" s="17">
        <v>38</v>
      </c>
      <c r="AN47" s="17">
        <v>297</v>
      </c>
      <c r="AO47" s="17">
        <v>7.815789473684211</v>
      </c>
      <c r="AR47">
        <v>20</v>
      </c>
      <c r="AS47">
        <v>408</v>
      </c>
      <c r="AT47">
        <v>1</v>
      </c>
      <c r="AU47">
        <v>10</v>
      </c>
      <c r="AV47">
        <v>23</v>
      </c>
      <c r="AW47">
        <v>141</v>
      </c>
      <c r="BD47" s="17">
        <v>44</v>
      </c>
      <c r="BE47" s="17">
        <v>559</v>
      </c>
      <c r="BF47" s="17">
        <v>12.704545454545455</v>
      </c>
      <c r="BI47">
        <v>7</v>
      </c>
      <c r="BJ47">
        <v>15</v>
      </c>
      <c r="BK47">
        <v>7</v>
      </c>
      <c r="BL47">
        <v>15</v>
      </c>
      <c r="BP47">
        <v>387</v>
      </c>
      <c r="BQ47">
        <v>2142</v>
      </c>
      <c r="BT47">
        <v>129</v>
      </c>
      <c r="BU47">
        <v>733</v>
      </c>
      <c r="CF47">
        <v>2</v>
      </c>
      <c r="CG47">
        <v>21</v>
      </c>
      <c r="CP47">
        <v>1</v>
      </c>
      <c r="CQ47">
        <v>7</v>
      </c>
      <c r="CR47">
        <v>519</v>
      </c>
      <c r="CS47">
        <v>2903</v>
      </c>
      <c r="CU47">
        <v>8</v>
      </c>
      <c r="CV47">
        <v>108</v>
      </c>
      <c r="DC47">
        <v>12</v>
      </c>
      <c r="DD47">
        <v>193</v>
      </c>
      <c r="DE47">
        <v>2</v>
      </c>
      <c r="DF47">
        <v>12</v>
      </c>
      <c r="DG47">
        <v>22</v>
      </c>
      <c r="DH47">
        <v>313</v>
      </c>
      <c r="DI47" s="17">
        <v>526</v>
      </c>
      <c r="DJ47" s="17">
        <v>2918</v>
      </c>
      <c r="DK47" s="17">
        <v>5.547528517110266</v>
      </c>
      <c r="DS47">
        <v>0</v>
      </c>
      <c r="DT47">
        <v>0</v>
      </c>
      <c r="DX47">
        <v>1</v>
      </c>
      <c r="DY47">
        <v>7</v>
      </c>
      <c r="DZ47">
        <v>2</v>
      </c>
      <c r="EA47">
        <v>9</v>
      </c>
      <c r="EB47">
        <v>3</v>
      </c>
      <c r="EC47">
        <v>16</v>
      </c>
      <c r="EK47">
        <v>0</v>
      </c>
      <c r="EL47">
        <v>0</v>
      </c>
      <c r="EN47">
        <v>3</v>
      </c>
      <c r="EO47">
        <v>7</v>
      </c>
      <c r="EV47">
        <v>3</v>
      </c>
      <c r="EW47">
        <v>7</v>
      </c>
      <c r="FE47">
        <v>93</v>
      </c>
      <c r="FF47">
        <v>388</v>
      </c>
      <c r="FI47">
        <v>1</v>
      </c>
      <c r="FJ47">
        <v>7</v>
      </c>
      <c r="FM47">
        <v>94</v>
      </c>
      <c r="FN47">
        <v>395</v>
      </c>
      <c r="FO47" s="17">
        <v>100</v>
      </c>
      <c r="FP47" s="17">
        <v>418</v>
      </c>
      <c r="FQ47" s="17">
        <v>4.18</v>
      </c>
      <c r="FV47">
        <v>37</v>
      </c>
      <c r="FW47">
        <v>200</v>
      </c>
      <c r="FX47">
        <v>33</v>
      </c>
      <c r="FY47">
        <v>140</v>
      </c>
      <c r="FZ47">
        <v>496</v>
      </c>
      <c r="GA47">
        <v>1229</v>
      </c>
      <c r="GB47">
        <v>1</v>
      </c>
      <c r="GC47">
        <v>2</v>
      </c>
      <c r="GD47">
        <v>3</v>
      </c>
      <c r="GE47">
        <v>19</v>
      </c>
      <c r="GJ47">
        <v>10</v>
      </c>
    </row>
    <row r="48" spans="1:192" s="22" customFormat="1" ht="15.75">
      <c r="A48" s="22" t="s">
        <v>322</v>
      </c>
      <c r="B48" s="22" t="s">
        <v>332</v>
      </c>
      <c r="C48" s="22">
        <v>2</v>
      </c>
      <c r="D48" s="22">
        <v>12</v>
      </c>
      <c r="E48" s="22">
        <v>31</v>
      </c>
      <c r="F48" s="22">
        <v>222</v>
      </c>
      <c r="G48" s="22">
        <v>0</v>
      </c>
      <c r="H48" s="22">
        <v>0</v>
      </c>
      <c r="I48" s="22">
        <v>333</v>
      </c>
      <c r="J48" s="22">
        <v>1985</v>
      </c>
      <c r="K48" s="22">
        <v>366</v>
      </c>
      <c r="L48" s="22">
        <v>2219</v>
      </c>
      <c r="M48" s="22">
        <f>L48/K48</f>
        <v>6.062841530054645</v>
      </c>
      <c r="N48" s="22">
        <v>33</v>
      </c>
      <c r="O48" s="22">
        <v>194</v>
      </c>
      <c r="P48" s="22">
        <v>430</v>
      </c>
      <c r="Q48" s="22">
        <v>3455</v>
      </c>
      <c r="R48" s="22">
        <v>71</v>
      </c>
      <c r="S48" s="22">
        <v>547</v>
      </c>
      <c r="T48" s="22">
        <v>43</v>
      </c>
      <c r="U48" s="22">
        <v>333</v>
      </c>
      <c r="V48" s="22">
        <v>14</v>
      </c>
      <c r="W48" s="22">
        <v>158</v>
      </c>
      <c r="X48" s="22">
        <v>11</v>
      </c>
      <c r="Y48" s="22">
        <v>622</v>
      </c>
      <c r="Z48" s="22">
        <v>29</v>
      </c>
      <c r="AA48" s="22">
        <v>245</v>
      </c>
      <c r="AB48" s="22">
        <v>631</v>
      </c>
      <c r="AC48" s="22">
        <v>5554</v>
      </c>
      <c r="AD48" s="22">
        <f>AC48/AB48</f>
        <v>8.80190174326466</v>
      </c>
      <c r="AE48" s="22">
        <v>4</v>
      </c>
      <c r="AF48" s="22">
        <v>44</v>
      </c>
      <c r="AG48" s="22">
        <v>123</v>
      </c>
      <c r="AH48" s="22">
        <v>449</v>
      </c>
      <c r="AI48" s="22">
        <v>0</v>
      </c>
      <c r="AJ48" s="22">
        <v>0</v>
      </c>
      <c r="AK48" s="22">
        <v>7</v>
      </c>
      <c r="AL48" s="22">
        <v>98</v>
      </c>
      <c r="AM48" s="22">
        <v>134</v>
      </c>
      <c r="AN48" s="22">
        <v>591</v>
      </c>
      <c r="AO48" s="22">
        <f>AN48/AM48</f>
        <v>4.41044776119403</v>
      </c>
      <c r="AP48" s="22">
        <v>0</v>
      </c>
      <c r="AQ48" s="22">
        <v>0</v>
      </c>
      <c r="AR48" s="22">
        <v>13</v>
      </c>
      <c r="AS48" s="22">
        <v>543</v>
      </c>
      <c r="AT48" s="22">
        <v>7</v>
      </c>
      <c r="AU48" s="22">
        <v>71</v>
      </c>
      <c r="AV48" s="22">
        <v>28</v>
      </c>
      <c r="AW48" s="22">
        <v>456</v>
      </c>
      <c r="AX48" s="22">
        <v>0</v>
      </c>
      <c r="AY48" s="22">
        <v>0</v>
      </c>
      <c r="AZ48" s="22">
        <v>1</v>
      </c>
      <c r="BA48" s="22">
        <v>1</v>
      </c>
      <c r="BB48" s="22">
        <v>4</v>
      </c>
      <c r="BC48" s="22">
        <v>16</v>
      </c>
      <c r="BD48" s="22">
        <v>53</v>
      </c>
      <c r="BE48" s="22">
        <v>1087</v>
      </c>
      <c r="BF48" s="22">
        <f>BE48/BD48</f>
        <v>20.50943396226415</v>
      </c>
      <c r="BG48" s="22">
        <v>5</v>
      </c>
      <c r="BH48" s="22">
        <v>28</v>
      </c>
      <c r="BI48" s="22">
        <v>53</v>
      </c>
      <c r="BJ48" s="22">
        <v>252</v>
      </c>
      <c r="BK48" s="22">
        <v>58</v>
      </c>
      <c r="BL48" s="22">
        <v>280</v>
      </c>
      <c r="BM48" s="22">
        <v>0</v>
      </c>
      <c r="BN48" s="22">
        <v>0</v>
      </c>
      <c r="BO48" s="22">
        <v>0</v>
      </c>
      <c r="BP48" s="22">
        <v>634</v>
      </c>
      <c r="BQ48" s="22">
        <v>8458</v>
      </c>
      <c r="BR48" s="22">
        <v>2</v>
      </c>
      <c r="BS48" s="22">
        <v>308</v>
      </c>
      <c r="BT48" s="22">
        <v>91</v>
      </c>
      <c r="BU48" s="22">
        <v>932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13</v>
      </c>
      <c r="CG48" s="22">
        <v>190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  <c r="CP48" s="22">
        <v>30</v>
      </c>
      <c r="CQ48" s="22">
        <v>251</v>
      </c>
      <c r="CR48" s="22">
        <v>770</v>
      </c>
      <c r="CS48" s="22">
        <v>10139</v>
      </c>
      <c r="CT48" s="22">
        <v>0</v>
      </c>
      <c r="CU48" s="22">
        <v>8</v>
      </c>
      <c r="CV48" s="22">
        <v>1146</v>
      </c>
      <c r="CW48" s="22">
        <v>0</v>
      </c>
      <c r="CX48" s="22">
        <v>0</v>
      </c>
      <c r="CY48" s="22">
        <v>0</v>
      </c>
      <c r="CZ48" s="22">
        <v>0</v>
      </c>
      <c r="DA48" s="22">
        <v>4</v>
      </c>
      <c r="DB48" s="22">
        <v>147</v>
      </c>
      <c r="DC48" s="22">
        <v>16</v>
      </c>
      <c r="DD48" s="22">
        <v>686</v>
      </c>
      <c r="DE48" s="22">
        <v>6</v>
      </c>
      <c r="DF48" s="22">
        <v>76</v>
      </c>
      <c r="DG48" s="22">
        <v>34</v>
      </c>
      <c r="DH48" s="22">
        <v>2055</v>
      </c>
      <c r="DI48" s="22">
        <v>828</v>
      </c>
      <c r="DJ48" s="22">
        <v>10419</v>
      </c>
      <c r="DK48" s="22">
        <f>DJ48/DI48</f>
        <v>12.583333333333334</v>
      </c>
      <c r="DL48" s="22">
        <v>0</v>
      </c>
      <c r="DM48" s="22">
        <v>0</v>
      </c>
      <c r="DN48" s="22">
        <v>0</v>
      </c>
      <c r="DO48" s="22">
        <v>3</v>
      </c>
      <c r="DP48" s="22">
        <v>11</v>
      </c>
      <c r="DQ48" s="22">
        <v>2</v>
      </c>
      <c r="DR48" s="22">
        <v>7</v>
      </c>
      <c r="DS48" s="22">
        <v>5</v>
      </c>
      <c r="DT48" s="22">
        <v>18</v>
      </c>
      <c r="DU48" s="22">
        <v>0</v>
      </c>
      <c r="DV48" s="22">
        <v>0</v>
      </c>
      <c r="DW48" s="22">
        <v>0</v>
      </c>
      <c r="DX48" s="22">
        <v>64</v>
      </c>
      <c r="DY48" s="22">
        <v>322</v>
      </c>
      <c r="DZ48" s="22">
        <v>106</v>
      </c>
      <c r="EA48" s="22">
        <v>253</v>
      </c>
      <c r="EB48" s="22">
        <v>170</v>
      </c>
      <c r="EC48" s="22">
        <v>575</v>
      </c>
      <c r="ED48" s="22">
        <v>0</v>
      </c>
      <c r="EE48" s="22">
        <v>1</v>
      </c>
      <c r="EF48" s="22">
        <v>13</v>
      </c>
      <c r="EG48" s="22">
        <v>0</v>
      </c>
      <c r="EH48" s="22">
        <v>0</v>
      </c>
      <c r="EI48" s="22">
        <v>27</v>
      </c>
      <c r="EJ48" s="22">
        <v>219</v>
      </c>
      <c r="EK48" s="22">
        <v>28</v>
      </c>
      <c r="EL48" s="22">
        <v>232</v>
      </c>
      <c r="EM48" s="22">
        <v>0</v>
      </c>
      <c r="EN48" s="22">
        <v>0</v>
      </c>
      <c r="EO48" s="22">
        <v>0</v>
      </c>
      <c r="EP48" s="22">
        <v>4</v>
      </c>
      <c r="EQ48" s="22">
        <v>21</v>
      </c>
      <c r="ER48" s="22">
        <v>14</v>
      </c>
      <c r="ES48" s="22">
        <v>112</v>
      </c>
      <c r="ET48" s="22">
        <v>13</v>
      </c>
      <c r="EU48" s="22">
        <v>79</v>
      </c>
      <c r="EV48" s="22">
        <v>31</v>
      </c>
      <c r="EW48" s="22">
        <v>212</v>
      </c>
      <c r="EX48" s="22">
        <v>0</v>
      </c>
      <c r="EY48" s="22">
        <v>45</v>
      </c>
      <c r="EZ48" s="22">
        <v>374</v>
      </c>
      <c r="FA48" s="22">
        <v>4</v>
      </c>
      <c r="FB48" s="22">
        <v>21</v>
      </c>
      <c r="FC48" s="22">
        <v>0</v>
      </c>
      <c r="FD48" s="22">
        <v>0</v>
      </c>
      <c r="FE48" s="22">
        <v>324</v>
      </c>
      <c r="FF48" s="22">
        <v>1641</v>
      </c>
      <c r="FG48" s="22">
        <v>0</v>
      </c>
      <c r="FH48" s="22">
        <v>0</v>
      </c>
      <c r="FI48" s="22">
        <v>14</v>
      </c>
      <c r="FJ48" s="22">
        <v>81</v>
      </c>
      <c r="FK48" s="22">
        <v>5</v>
      </c>
      <c r="FL48" s="22">
        <v>17</v>
      </c>
      <c r="FM48" s="22">
        <v>392</v>
      </c>
      <c r="FN48" s="22">
        <v>2134</v>
      </c>
      <c r="FO48" s="22">
        <v>626</v>
      </c>
      <c r="FP48" s="22">
        <v>3171</v>
      </c>
      <c r="FQ48" s="22">
        <f>FP48/FO48</f>
        <v>5.065495207667731</v>
      </c>
      <c r="FR48" s="22">
        <v>0</v>
      </c>
      <c r="FS48" s="22">
        <v>0</v>
      </c>
      <c r="FT48" s="22">
        <v>109</v>
      </c>
      <c r="FU48" s="22">
        <v>567</v>
      </c>
      <c r="FV48" s="22">
        <v>94</v>
      </c>
      <c r="FW48" s="22">
        <v>679</v>
      </c>
      <c r="FX48" s="22">
        <v>361</v>
      </c>
      <c r="FY48" s="22">
        <v>1753</v>
      </c>
      <c r="FZ48" s="22">
        <v>334</v>
      </c>
      <c r="GA48" s="22">
        <v>1590</v>
      </c>
      <c r="GB48" s="22">
        <v>28</v>
      </c>
      <c r="GC48" s="22">
        <v>194</v>
      </c>
      <c r="GD48" s="22">
        <v>37</v>
      </c>
      <c r="GE48" s="22">
        <v>191</v>
      </c>
      <c r="GF48" s="22">
        <v>2</v>
      </c>
      <c r="GG48" s="22">
        <v>4</v>
      </c>
      <c r="GH48" s="22">
        <v>0</v>
      </c>
      <c r="GI48" s="22">
        <v>0</v>
      </c>
      <c r="GJ48" s="22">
        <v>272</v>
      </c>
    </row>
    <row r="49" spans="1:192" ht="15.75">
      <c r="A49" s="18" t="s">
        <v>323</v>
      </c>
      <c r="B49" t="s">
        <v>50</v>
      </c>
      <c r="E49">
        <v>6</v>
      </c>
      <c r="F49">
        <v>21</v>
      </c>
      <c r="I49">
        <v>44</v>
      </c>
      <c r="J49">
        <v>115</v>
      </c>
      <c r="K49" s="17">
        <v>50</v>
      </c>
      <c r="L49" s="17">
        <v>136</v>
      </c>
      <c r="M49" s="17">
        <v>2.72</v>
      </c>
      <c r="N49">
        <v>8</v>
      </c>
      <c r="O49">
        <v>16</v>
      </c>
      <c r="P49">
        <v>194</v>
      </c>
      <c r="Q49">
        <v>327</v>
      </c>
      <c r="R49">
        <v>26</v>
      </c>
      <c r="S49">
        <v>120</v>
      </c>
      <c r="T49">
        <v>7</v>
      </c>
      <c r="U49">
        <v>32</v>
      </c>
      <c r="V49">
        <v>7</v>
      </c>
      <c r="W49">
        <v>37</v>
      </c>
      <c r="X49">
        <v>2</v>
      </c>
      <c r="Y49">
        <v>13</v>
      </c>
      <c r="Z49">
        <v>6</v>
      </c>
      <c r="AA49">
        <v>27</v>
      </c>
      <c r="AB49" s="17">
        <v>250</v>
      </c>
      <c r="AC49" s="17">
        <v>572</v>
      </c>
      <c r="AD49" s="17">
        <v>2.288</v>
      </c>
      <c r="AE49">
        <v>5</v>
      </c>
      <c r="AF49">
        <v>67</v>
      </c>
      <c r="AG49">
        <v>31</v>
      </c>
      <c r="AH49">
        <v>56</v>
      </c>
      <c r="AI49">
        <v>1</v>
      </c>
      <c r="AJ49">
        <v>49</v>
      </c>
      <c r="AK49">
        <v>7</v>
      </c>
      <c r="AL49">
        <v>91</v>
      </c>
      <c r="AM49" s="17">
        <v>44</v>
      </c>
      <c r="AN49" s="17">
        <v>263</v>
      </c>
      <c r="AO49" s="17">
        <v>5.9772727272727275</v>
      </c>
      <c r="AR49">
        <v>6</v>
      </c>
      <c r="AS49">
        <v>202</v>
      </c>
      <c r="AV49">
        <v>14</v>
      </c>
      <c r="AW49">
        <v>53</v>
      </c>
      <c r="BD49" s="17">
        <v>20</v>
      </c>
      <c r="BE49" s="17">
        <v>255</v>
      </c>
      <c r="BF49" s="17">
        <v>12.75</v>
      </c>
      <c r="BI49">
        <v>23</v>
      </c>
      <c r="BJ49">
        <v>90</v>
      </c>
      <c r="BK49">
        <v>23</v>
      </c>
      <c r="BL49">
        <v>90</v>
      </c>
      <c r="BP49">
        <v>551</v>
      </c>
      <c r="BQ49">
        <v>4340</v>
      </c>
      <c r="BT49">
        <v>37</v>
      </c>
      <c r="BU49">
        <v>389</v>
      </c>
      <c r="CF49">
        <v>5</v>
      </c>
      <c r="CG49">
        <v>52</v>
      </c>
      <c r="CP49">
        <v>14</v>
      </c>
      <c r="CQ49">
        <v>52</v>
      </c>
      <c r="CR49">
        <v>607</v>
      </c>
      <c r="CS49">
        <v>4833</v>
      </c>
      <c r="CU49">
        <v>4</v>
      </c>
      <c r="CV49">
        <v>122</v>
      </c>
      <c r="DC49">
        <v>7</v>
      </c>
      <c r="DD49">
        <v>36</v>
      </c>
      <c r="DE49">
        <v>1</v>
      </c>
      <c r="DF49">
        <v>7</v>
      </c>
      <c r="DG49">
        <v>12</v>
      </c>
      <c r="DH49">
        <v>165</v>
      </c>
      <c r="DI49" s="17">
        <v>630</v>
      </c>
      <c r="DJ49" s="17">
        <v>4923</v>
      </c>
      <c r="DK49" s="17">
        <v>7.814285714285714</v>
      </c>
      <c r="DO49">
        <v>1</v>
      </c>
      <c r="DP49">
        <v>1</v>
      </c>
      <c r="DS49">
        <v>1</v>
      </c>
      <c r="DT49">
        <v>1</v>
      </c>
      <c r="DX49">
        <v>10</v>
      </c>
      <c r="DY49">
        <v>40</v>
      </c>
      <c r="DZ49">
        <v>8</v>
      </c>
      <c r="EA49">
        <v>8</v>
      </c>
      <c r="EB49">
        <v>18</v>
      </c>
      <c r="EC49">
        <v>48</v>
      </c>
      <c r="EI49">
        <v>13</v>
      </c>
      <c r="EJ49">
        <v>68</v>
      </c>
      <c r="EK49">
        <v>13</v>
      </c>
      <c r="EL49">
        <v>68</v>
      </c>
      <c r="ER49">
        <v>3</v>
      </c>
      <c r="ES49">
        <v>15</v>
      </c>
      <c r="ET49">
        <v>1</v>
      </c>
      <c r="EU49">
        <v>10</v>
      </c>
      <c r="EV49">
        <v>4</v>
      </c>
      <c r="EW49">
        <v>25</v>
      </c>
      <c r="EY49">
        <v>6</v>
      </c>
      <c r="EZ49">
        <v>7</v>
      </c>
      <c r="FE49">
        <v>100</v>
      </c>
      <c r="FF49">
        <v>272</v>
      </c>
      <c r="FI49">
        <v>4</v>
      </c>
      <c r="FJ49">
        <v>12</v>
      </c>
      <c r="FM49">
        <v>110</v>
      </c>
      <c r="FN49">
        <v>291</v>
      </c>
      <c r="FO49" s="17">
        <v>146</v>
      </c>
      <c r="FP49" s="17">
        <v>433</v>
      </c>
      <c r="FQ49" s="17">
        <v>2.9657534246575343</v>
      </c>
      <c r="FT49">
        <v>51</v>
      </c>
      <c r="FU49">
        <v>240</v>
      </c>
      <c r="FV49">
        <v>3</v>
      </c>
      <c r="FW49">
        <v>10</v>
      </c>
      <c r="FX49">
        <v>84</v>
      </c>
      <c r="FY49">
        <v>292</v>
      </c>
      <c r="FZ49">
        <v>109</v>
      </c>
      <c r="GA49">
        <v>156</v>
      </c>
      <c r="GB49">
        <v>8</v>
      </c>
      <c r="GC49">
        <v>15</v>
      </c>
      <c r="GD49">
        <v>10</v>
      </c>
      <c r="GE49">
        <v>20</v>
      </c>
      <c r="GJ49">
        <v>117</v>
      </c>
    </row>
    <row r="50" spans="1:192" ht="15.75">
      <c r="A50" s="18" t="s">
        <v>324</v>
      </c>
      <c r="B50" t="s">
        <v>51</v>
      </c>
      <c r="C50">
        <v>1</v>
      </c>
      <c r="D50">
        <v>2</v>
      </c>
      <c r="E50">
        <v>13</v>
      </c>
      <c r="F50">
        <v>44</v>
      </c>
      <c r="I50">
        <v>323</v>
      </c>
      <c r="J50">
        <v>783</v>
      </c>
      <c r="K50" s="17">
        <v>337</v>
      </c>
      <c r="L50" s="17">
        <v>829</v>
      </c>
      <c r="M50" s="17">
        <v>2.459940652818991</v>
      </c>
      <c r="N50">
        <v>16</v>
      </c>
      <c r="O50">
        <v>53</v>
      </c>
      <c r="P50">
        <v>445</v>
      </c>
      <c r="Q50">
        <v>1117</v>
      </c>
      <c r="R50">
        <v>62</v>
      </c>
      <c r="S50">
        <v>161</v>
      </c>
      <c r="T50">
        <v>6</v>
      </c>
      <c r="U50">
        <v>22</v>
      </c>
      <c r="V50">
        <v>11</v>
      </c>
      <c r="W50">
        <v>55</v>
      </c>
      <c r="X50">
        <v>4</v>
      </c>
      <c r="Y50">
        <v>19</v>
      </c>
      <c r="Z50">
        <v>35</v>
      </c>
      <c r="AA50">
        <v>127</v>
      </c>
      <c r="AB50" s="17">
        <v>579</v>
      </c>
      <c r="AC50" s="17">
        <v>1554</v>
      </c>
      <c r="AD50" s="17">
        <v>2.683937823834197</v>
      </c>
      <c r="AE50">
        <v>10</v>
      </c>
      <c r="AF50">
        <v>60</v>
      </c>
      <c r="AG50">
        <v>20</v>
      </c>
      <c r="AH50">
        <v>64</v>
      </c>
      <c r="AK50">
        <v>7</v>
      </c>
      <c r="AL50">
        <v>25</v>
      </c>
      <c r="AM50" s="17">
        <v>37</v>
      </c>
      <c r="AN50" s="17">
        <v>149</v>
      </c>
      <c r="AO50" s="17">
        <v>4.027027027027027</v>
      </c>
      <c r="AP50">
        <v>3</v>
      </c>
      <c r="AQ50">
        <v>14</v>
      </c>
      <c r="AR50">
        <v>17</v>
      </c>
      <c r="AS50">
        <v>223</v>
      </c>
      <c r="AT50">
        <v>13</v>
      </c>
      <c r="AU50">
        <v>120</v>
      </c>
      <c r="AV50">
        <v>35</v>
      </c>
      <c r="AW50">
        <v>125</v>
      </c>
      <c r="BB50">
        <v>3</v>
      </c>
      <c r="BC50">
        <v>6</v>
      </c>
      <c r="BD50" s="17">
        <v>71</v>
      </c>
      <c r="BE50" s="17">
        <v>488</v>
      </c>
      <c r="BF50" s="17">
        <v>6.873239436619718</v>
      </c>
      <c r="BG50">
        <v>4</v>
      </c>
      <c r="BH50">
        <v>9</v>
      </c>
      <c r="BI50">
        <v>8</v>
      </c>
      <c r="BJ50">
        <v>31</v>
      </c>
      <c r="BK50">
        <v>12</v>
      </c>
      <c r="BL50">
        <v>40</v>
      </c>
      <c r="BP50">
        <v>551</v>
      </c>
      <c r="BQ50">
        <v>5278</v>
      </c>
      <c r="BT50">
        <v>32</v>
      </c>
      <c r="BU50">
        <v>192</v>
      </c>
      <c r="CF50">
        <v>8</v>
      </c>
      <c r="CG50">
        <v>40</v>
      </c>
      <c r="CP50">
        <v>29</v>
      </c>
      <c r="CQ50">
        <v>128</v>
      </c>
      <c r="CR50">
        <v>620</v>
      </c>
      <c r="CS50">
        <v>5638</v>
      </c>
      <c r="CU50">
        <v>2</v>
      </c>
      <c r="CV50">
        <v>73</v>
      </c>
      <c r="DC50">
        <v>1</v>
      </c>
      <c r="DD50">
        <v>13</v>
      </c>
      <c r="DE50">
        <v>4</v>
      </c>
      <c r="DF50">
        <v>15</v>
      </c>
      <c r="DG50">
        <v>7</v>
      </c>
      <c r="DH50">
        <v>101</v>
      </c>
      <c r="DI50" s="17">
        <v>632</v>
      </c>
      <c r="DJ50" s="17">
        <v>5678</v>
      </c>
      <c r="DK50" s="17">
        <v>8.984177215189874</v>
      </c>
      <c r="DO50">
        <v>1</v>
      </c>
      <c r="DP50">
        <v>6</v>
      </c>
      <c r="DS50">
        <v>1</v>
      </c>
      <c r="DT50">
        <v>6</v>
      </c>
      <c r="DX50">
        <v>81</v>
      </c>
      <c r="DY50">
        <v>202</v>
      </c>
      <c r="DZ50">
        <v>86</v>
      </c>
      <c r="EA50">
        <v>121</v>
      </c>
      <c r="EB50">
        <v>167</v>
      </c>
      <c r="EC50">
        <v>323</v>
      </c>
      <c r="EI50">
        <v>26</v>
      </c>
      <c r="EJ50">
        <v>91</v>
      </c>
      <c r="EK50">
        <v>26</v>
      </c>
      <c r="EL50">
        <v>91</v>
      </c>
      <c r="EN50">
        <v>3</v>
      </c>
      <c r="EO50">
        <v>27</v>
      </c>
      <c r="EP50">
        <v>10</v>
      </c>
      <c r="EQ50">
        <v>21</v>
      </c>
      <c r="ER50">
        <v>16</v>
      </c>
      <c r="ES50">
        <v>47</v>
      </c>
      <c r="ET50">
        <v>6</v>
      </c>
      <c r="EU50">
        <v>20</v>
      </c>
      <c r="EV50">
        <v>35</v>
      </c>
      <c r="EW50">
        <v>115</v>
      </c>
      <c r="EY50">
        <v>12</v>
      </c>
      <c r="EZ50">
        <v>36</v>
      </c>
      <c r="FA50">
        <v>2</v>
      </c>
      <c r="FB50">
        <v>4</v>
      </c>
      <c r="FE50">
        <v>420</v>
      </c>
      <c r="FF50">
        <v>1083</v>
      </c>
      <c r="FM50">
        <v>434</v>
      </c>
      <c r="FN50">
        <v>1123</v>
      </c>
      <c r="FO50" s="17">
        <v>663</v>
      </c>
      <c r="FP50" s="17">
        <v>1658</v>
      </c>
      <c r="FQ50" s="17">
        <v>2.5007541478129713</v>
      </c>
      <c r="FV50">
        <v>72</v>
      </c>
      <c r="FW50">
        <v>263</v>
      </c>
      <c r="FX50">
        <v>391</v>
      </c>
      <c r="FY50">
        <v>1191</v>
      </c>
      <c r="FZ50">
        <v>276</v>
      </c>
      <c r="GA50">
        <v>670</v>
      </c>
      <c r="GB50">
        <v>43</v>
      </c>
      <c r="GC50">
        <v>137</v>
      </c>
      <c r="GD50">
        <v>23</v>
      </c>
      <c r="GE50">
        <v>80</v>
      </c>
      <c r="GJ50">
        <v>238</v>
      </c>
    </row>
    <row r="51" spans="1:192" ht="15.75">
      <c r="A51" s="18" t="s">
        <v>325</v>
      </c>
      <c r="B51" t="s">
        <v>52</v>
      </c>
      <c r="C51">
        <v>1</v>
      </c>
      <c r="D51">
        <v>1</v>
      </c>
      <c r="E51">
        <v>18</v>
      </c>
      <c r="F51">
        <v>147</v>
      </c>
      <c r="G51">
        <v>4</v>
      </c>
      <c r="H51">
        <v>9</v>
      </c>
      <c r="I51">
        <v>310</v>
      </c>
      <c r="J51">
        <v>475</v>
      </c>
      <c r="K51" s="17">
        <v>333</v>
      </c>
      <c r="L51" s="17">
        <v>632</v>
      </c>
      <c r="M51" s="17">
        <v>1.897897897897898</v>
      </c>
      <c r="N51">
        <v>47</v>
      </c>
      <c r="O51">
        <v>106</v>
      </c>
      <c r="P51">
        <v>499</v>
      </c>
      <c r="Q51">
        <v>781</v>
      </c>
      <c r="R51">
        <v>121</v>
      </c>
      <c r="S51">
        <v>286</v>
      </c>
      <c r="T51">
        <v>7</v>
      </c>
      <c r="U51">
        <v>45</v>
      </c>
      <c r="V51">
        <v>27</v>
      </c>
      <c r="W51">
        <v>83</v>
      </c>
      <c r="X51">
        <v>11</v>
      </c>
      <c r="Y51">
        <v>36</v>
      </c>
      <c r="Z51">
        <v>29</v>
      </c>
      <c r="AA51">
        <v>92</v>
      </c>
      <c r="AB51" s="17">
        <v>741</v>
      </c>
      <c r="AC51" s="17">
        <v>1429</v>
      </c>
      <c r="AD51" s="17">
        <v>1.9284750337381917</v>
      </c>
      <c r="AE51">
        <v>8</v>
      </c>
      <c r="AF51">
        <v>53</v>
      </c>
      <c r="AG51">
        <v>81</v>
      </c>
      <c r="AH51">
        <v>144</v>
      </c>
      <c r="AK51">
        <v>14</v>
      </c>
      <c r="AL51">
        <v>127</v>
      </c>
      <c r="AM51" s="17">
        <v>103</v>
      </c>
      <c r="AN51" s="17">
        <v>324</v>
      </c>
      <c r="AO51" s="17">
        <v>3.145631067961165</v>
      </c>
      <c r="AP51">
        <v>2</v>
      </c>
      <c r="AQ51">
        <v>7</v>
      </c>
      <c r="AR51">
        <v>20</v>
      </c>
      <c r="AS51">
        <v>418</v>
      </c>
      <c r="AT51">
        <v>81</v>
      </c>
      <c r="AU51">
        <v>959</v>
      </c>
      <c r="AV51">
        <v>57</v>
      </c>
      <c r="AW51">
        <v>311</v>
      </c>
      <c r="BD51" s="17">
        <v>160</v>
      </c>
      <c r="BE51" s="17">
        <v>1695</v>
      </c>
      <c r="BF51" s="17">
        <v>10.59375</v>
      </c>
      <c r="BI51">
        <v>4</v>
      </c>
      <c r="BJ51">
        <v>9</v>
      </c>
      <c r="BK51">
        <v>4</v>
      </c>
      <c r="BL51">
        <v>9</v>
      </c>
      <c r="BP51">
        <v>1371</v>
      </c>
      <c r="BQ51">
        <v>8241</v>
      </c>
      <c r="BR51">
        <v>3</v>
      </c>
      <c r="BS51">
        <v>805</v>
      </c>
      <c r="BT51">
        <v>51</v>
      </c>
      <c r="BU51">
        <v>175</v>
      </c>
      <c r="CF51">
        <v>10</v>
      </c>
      <c r="CG51">
        <v>44</v>
      </c>
      <c r="CP51">
        <v>30</v>
      </c>
      <c r="CQ51">
        <v>96</v>
      </c>
      <c r="CR51">
        <v>1465</v>
      </c>
      <c r="CS51">
        <v>9361</v>
      </c>
      <c r="CU51">
        <v>7</v>
      </c>
      <c r="CV51">
        <v>920</v>
      </c>
      <c r="DC51">
        <v>6</v>
      </c>
      <c r="DD51">
        <v>1039</v>
      </c>
      <c r="DE51">
        <v>6</v>
      </c>
      <c r="DF51">
        <v>42</v>
      </c>
      <c r="DG51">
        <v>19</v>
      </c>
      <c r="DH51">
        <v>2001</v>
      </c>
      <c r="DI51" s="17">
        <v>1469</v>
      </c>
      <c r="DJ51" s="17">
        <v>9370</v>
      </c>
      <c r="DK51" s="17">
        <v>6.378488767869299</v>
      </c>
      <c r="DO51">
        <v>1</v>
      </c>
      <c r="DP51">
        <v>1</v>
      </c>
      <c r="DS51">
        <v>1</v>
      </c>
      <c r="DT51">
        <v>1</v>
      </c>
      <c r="DX51">
        <v>76</v>
      </c>
      <c r="DY51">
        <v>273</v>
      </c>
      <c r="DZ51">
        <v>723</v>
      </c>
      <c r="EA51">
        <v>890</v>
      </c>
      <c r="EB51">
        <v>799</v>
      </c>
      <c r="EC51">
        <v>1163</v>
      </c>
      <c r="EE51">
        <v>3</v>
      </c>
      <c r="EF51">
        <v>10</v>
      </c>
      <c r="EI51">
        <v>31</v>
      </c>
      <c r="EJ51">
        <v>81</v>
      </c>
      <c r="EK51">
        <v>34</v>
      </c>
      <c r="EL51">
        <v>91</v>
      </c>
      <c r="EP51">
        <v>80</v>
      </c>
      <c r="EQ51">
        <v>149</v>
      </c>
      <c r="ER51">
        <v>25</v>
      </c>
      <c r="ES51">
        <v>65</v>
      </c>
      <c r="ET51">
        <v>8</v>
      </c>
      <c r="EU51">
        <v>14</v>
      </c>
      <c r="EV51">
        <v>113</v>
      </c>
      <c r="EW51">
        <v>228</v>
      </c>
      <c r="EY51">
        <v>44</v>
      </c>
      <c r="EZ51">
        <v>99</v>
      </c>
      <c r="FA51">
        <v>4</v>
      </c>
      <c r="FB51">
        <v>4</v>
      </c>
      <c r="FE51">
        <v>648</v>
      </c>
      <c r="FF51">
        <v>1188</v>
      </c>
      <c r="FI51">
        <v>4</v>
      </c>
      <c r="FJ51">
        <v>7</v>
      </c>
      <c r="FK51">
        <v>6</v>
      </c>
      <c r="FL51">
        <v>24</v>
      </c>
      <c r="FM51">
        <v>706</v>
      </c>
      <c r="FN51">
        <v>1322</v>
      </c>
      <c r="FO51" s="17">
        <v>1653</v>
      </c>
      <c r="FP51" s="17">
        <v>2805</v>
      </c>
      <c r="FQ51" s="17">
        <v>1.6969147005444647</v>
      </c>
      <c r="FT51">
        <v>42</v>
      </c>
      <c r="FU51">
        <v>372</v>
      </c>
      <c r="FV51">
        <v>45</v>
      </c>
      <c r="FW51">
        <v>151</v>
      </c>
      <c r="FX51">
        <v>341</v>
      </c>
      <c r="FY51">
        <v>614</v>
      </c>
      <c r="FZ51">
        <v>622</v>
      </c>
      <c r="GA51">
        <v>1030</v>
      </c>
      <c r="GB51">
        <v>67</v>
      </c>
      <c r="GC51">
        <v>133</v>
      </c>
      <c r="GD51">
        <v>14</v>
      </c>
      <c r="GE51">
        <v>33</v>
      </c>
      <c r="GF51">
        <v>3</v>
      </c>
      <c r="GG51">
        <v>6</v>
      </c>
      <c r="GJ51">
        <v>318</v>
      </c>
    </row>
    <row r="52" spans="1:192" ht="15.75">
      <c r="A52" s="18" t="s">
        <v>326</v>
      </c>
      <c r="B52" t="s">
        <v>53</v>
      </c>
      <c r="C52">
        <v>2</v>
      </c>
      <c r="D52">
        <v>4</v>
      </c>
      <c r="E52">
        <v>15</v>
      </c>
      <c r="F52">
        <v>53</v>
      </c>
      <c r="G52">
        <v>1</v>
      </c>
      <c r="H52">
        <v>1</v>
      </c>
      <c r="I52">
        <v>139</v>
      </c>
      <c r="J52">
        <v>363</v>
      </c>
      <c r="K52" s="17">
        <v>157</v>
      </c>
      <c r="L52" s="17">
        <v>421</v>
      </c>
      <c r="M52" s="17">
        <v>2.6815286624203822</v>
      </c>
      <c r="N52">
        <v>11</v>
      </c>
      <c r="O52">
        <v>56</v>
      </c>
      <c r="P52">
        <v>131</v>
      </c>
      <c r="Q52">
        <v>533</v>
      </c>
      <c r="R52">
        <v>64</v>
      </c>
      <c r="S52">
        <v>245</v>
      </c>
      <c r="T52">
        <v>6</v>
      </c>
      <c r="U52">
        <v>43</v>
      </c>
      <c r="V52">
        <v>6</v>
      </c>
      <c r="W52">
        <v>46</v>
      </c>
      <c r="X52">
        <v>3</v>
      </c>
      <c r="Y52">
        <v>17</v>
      </c>
      <c r="Z52">
        <v>17</v>
      </c>
      <c r="AA52">
        <v>54</v>
      </c>
      <c r="AB52" s="17">
        <v>238</v>
      </c>
      <c r="AC52" s="17">
        <v>994</v>
      </c>
      <c r="AD52" s="17">
        <v>4.176470588235294</v>
      </c>
      <c r="AE52">
        <v>4</v>
      </c>
      <c r="AF52">
        <v>75</v>
      </c>
      <c r="AG52">
        <v>33</v>
      </c>
      <c r="AH52">
        <v>87</v>
      </c>
      <c r="AI52">
        <v>2</v>
      </c>
      <c r="AJ52">
        <v>6</v>
      </c>
      <c r="AK52">
        <v>2</v>
      </c>
      <c r="AL52">
        <v>35</v>
      </c>
      <c r="AM52" s="17">
        <v>41</v>
      </c>
      <c r="AN52" s="17">
        <v>203</v>
      </c>
      <c r="AO52" s="17">
        <v>4.951219512195122</v>
      </c>
      <c r="AP52">
        <v>2</v>
      </c>
      <c r="AQ52">
        <v>16</v>
      </c>
      <c r="AR52">
        <v>6</v>
      </c>
      <c r="AS52">
        <v>187</v>
      </c>
      <c r="AT52">
        <v>62</v>
      </c>
      <c r="AU52">
        <v>235</v>
      </c>
      <c r="AV52">
        <v>23</v>
      </c>
      <c r="AW52">
        <v>136</v>
      </c>
      <c r="BB52">
        <v>1</v>
      </c>
      <c r="BC52">
        <v>5</v>
      </c>
      <c r="BD52" s="17">
        <v>94</v>
      </c>
      <c r="BE52" s="17">
        <v>579</v>
      </c>
      <c r="BF52" s="17">
        <v>6.159574468085107</v>
      </c>
      <c r="BG52">
        <v>3</v>
      </c>
      <c r="BH52">
        <v>15</v>
      </c>
      <c r="BI52">
        <v>3</v>
      </c>
      <c r="BJ52">
        <v>15</v>
      </c>
      <c r="BK52">
        <v>6</v>
      </c>
      <c r="BL52">
        <v>30</v>
      </c>
      <c r="BP52">
        <v>412</v>
      </c>
      <c r="BQ52">
        <v>3060</v>
      </c>
      <c r="BT52">
        <v>24</v>
      </c>
      <c r="BU52">
        <v>191</v>
      </c>
      <c r="CF52">
        <v>2</v>
      </c>
      <c r="CG52">
        <v>38</v>
      </c>
      <c r="CP52">
        <v>19</v>
      </c>
      <c r="CQ52">
        <v>89</v>
      </c>
      <c r="CR52">
        <v>457</v>
      </c>
      <c r="CS52">
        <v>3378</v>
      </c>
      <c r="CU52">
        <v>3</v>
      </c>
      <c r="CV52">
        <v>159</v>
      </c>
      <c r="DE52">
        <v>7</v>
      </c>
      <c r="DF52">
        <v>57</v>
      </c>
      <c r="DG52">
        <v>10</v>
      </c>
      <c r="DH52">
        <v>216</v>
      </c>
      <c r="DI52" s="17">
        <v>463</v>
      </c>
      <c r="DJ52" s="17">
        <v>3408</v>
      </c>
      <c r="DK52" s="17">
        <v>7.360691144708423</v>
      </c>
      <c r="DO52">
        <v>2</v>
      </c>
      <c r="DP52">
        <v>7</v>
      </c>
      <c r="DS52">
        <v>2</v>
      </c>
      <c r="DT52">
        <v>7</v>
      </c>
      <c r="DX52">
        <v>76</v>
      </c>
      <c r="DY52">
        <v>201</v>
      </c>
      <c r="DZ52">
        <v>112</v>
      </c>
      <c r="EA52">
        <v>210</v>
      </c>
      <c r="EB52">
        <v>188</v>
      </c>
      <c r="EC52">
        <v>411</v>
      </c>
      <c r="EE52">
        <v>1</v>
      </c>
      <c r="EF52">
        <v>13</v>
      </c>
      <c r="EI52">
        <v>15</v>
      </c>
      <c r="EJ52">
        <v>44</v>
      </c>
      <c r="EK52">
        <v>16</v>
      </c>
      <c r="EL52">
        <v>57</v>
      </c>
      <c r="EN52">
        <v>1</v>
      </c>
      <c r="EO52">
        <v>2</v>
      </c>
      <c r="EP52">
        <v>39</v>
      </c>
      <c r="EQ52">
        <v>86</v>
      </c>
      <c r="ER52">
        <v>3</v>
      </c>
      <c r="ES52">
        <v>21</v>
      </c>
      <c r="ET52">
        <v>2</v>
      </c>
      <c r="EU52">
        <v>10</v>
      </c>
      <c r="EV52">
        <v>45</v>
      </c>
      <c r="EW52">
        <v>119</v>
      </c>
      <c r="EY52">
        <v>19</v>
      </c>
      <c r="EZ52">
        <v>49</v>
      </c>
      <c r="FC52">
        <v>5</v>
      </c>
      <c r="FD52">
        <v>5</v>
      </c>
      <c r="FE52">
        <v>258</v>
      </c>
      <c r="FF52">
        <v>774</v>
      </c>
      <c r="FI52">
        <v>8</v>
      </c>
      <c r="FJ52">
        <v>86</v>
      </c>
      <c r="FK52">
        <v>5</v>
      </c>
      <c r="FL52">
        <v>21</v>
      </c>
      <c r="FM52">
        <v>295</v>
      </c>
      <c r="FN52">
        <v>935</v>
      </c>
      <c r="FO52" s="17">
        <v>546</v>
      </c>
      <c r="FP52" s="17">
        <v>1529</v>
      </c>
      <c r="FQ52" s="17">
        <v>2.8003663003663</v>
      </c>
      <c r="FT52">
        <v>16</v>
      </c>
      <c r="FU52">
        <v>82</v>
      </c>
      <c r="FV52">
        <v>1</v>
      </c>
      <c r="FW52">
        <v>12</v>
      </c>
      <c r="FX52">
        <v>230</v>
      </c>
      <c r="FY52">
        <v>700</v>
      </c>
      <c r="FZ52">
        <v>136</v>
      </c>
      <c r="GA52">
        <v>345</v>
      </c>
      <c r="GB52">
        <v>15</v>
      </c>
      <c r="GC52">
        <v>54</v>
      </c>
      <c r="GD52">
        <v>4</v>
      </c>
      <c r="GE52">
        <v>16</v>
      </c>
      <c r="GF52">
        <v>3</v>
      </c>
      <c r="GG52">
        <v>26</v>
      </c>
      <c r="GJ52">
        <v>138</v>
      </c>
    </row>
    <row r="53" spans="1:192" ht="15.75">
      <c r="A53" s="18" t="s">
        <v>327</v>
      </c>
      <c r="B53" t="s">
        <v>54</v>
      </c>
      <c r="C53">
        <v>1</v>
      </c>
      <c r="D53">
        <v>2</v>
      </c>
      <c r="E53">
        <v>22</v>
      </c>
      <c r="F53">
        <v>191</v>
      </c>
      <c r="I53">
        <v>42</v>
      </c>
      <c r="J53">
        <v>103</v>
      </c>
      <c r="K53" s="17">
        <v>65</v>
      </c>
      <c r="L53" s="17">
        <v>296</v>
      </c>
      <c r="M53" s="17">
        <v>4.553846153846154</v>
      </c>
      <c r="N53">
        <v>22</v>
      </c>
      <c r="O53">
        <v>62</v>
      </c>
      <c r="P53">
        <v>170</v>
      </c>
      <c r="Q53">
        <v>465</v>
      </c>
      <c r="R53">
        <v>36</v>
      </c>
      <c r="S53">
        <v>235</v>
      </c>
      <c r="T53">
        <v>10</v>
      </c>
      <c r="U53">
        <v>64</v>
      </c>
      <c r="V53">
        <v>12</v>
      </c>
      <c r="W53">
        <v>168</v>
      </c>
      <c r="X53">
        <v>8</v>
      </c>
      <c r="Y53">
        <v>23</v>
      </c>
      <c r="Z53">
        <v>14</v>
      </c>
      <c r="AA53">
        <v>124</v>
      </c>
      <c r="AB53" s="17">
        <v>272</v>
      </c>
      <c r="AC53" s="17">
        <v>1141</v>
      </c>
      <c r="AD53" s="17">
        <v>4.194852941176471</v>
      </c>
      <c r="AE53">
        <v>9</v>
      </c>
      <c r="AF53">
        <v>171</v>
      </c>
      <c r="AG53">
        <v>70</v>
      </c>
      <c r="AH53">
        <v>121</v>
      </c>
      <c r="AI53">
        <v>1</v>
      </c>
      <c r="AJ53">
        <v>107</v>
      </c>
      <c r="AK53">
        <v>8</v>
      </c>
      <c r="AL53">
        <v>72</v>
      </c>
      <c r="AM53" s="17">
        <v>88</v>
      </c>
      <c r="AN53" s="17">
        <v>471</v>
      </c>
      <c r="AO53" s="17">
        <v>5.3522727272727275</v>
      </c>
      <c r="AR53">
        <v>14</v>
      </c>
      <c r="AS53">
        <v>384</v>
      </c>
      <c r="AT53">
        <v>1</v>
      </c>
      <c r="AU53">
        <v>29</v>
      </c>
      <c r="AV53">
        <v>16</v>
      </c>
      <c r="AW53">
        <v>241</v>
      </c>
      <c r="BB53">
        <v>6</v>
      </c>
      <c r="BC53">
        <v>35</v>
      </c>
      <c r="BD53" s="17">
        <v>37</v>
      </c>
      <c r="BE53" s="17">
        <v>689</v>
      </c>
      <c r="BF53" s="17">
        <v>18.62162162162162</v>
      </c>
      <c r="BG53">
        <v>5</v>
      </c>
      <c r="BH53">
        <v>88</v>
      </c>
      <c r="BI53">
        <v>1</v>
      </c>
      <c r="BJ53">
        <v>9</v>
      </c>
      <c r="BK53">
        <v>6</v>
      </c>
      <c r="BL53">
        <v>97</v>
      </c>
      <c r="BP53">
        <v>334</v>
      </c>
      <c r="BQ53">
        <v>2498</v>
      </c>
      <c r="BT53">
        <v>49</v>
      </c>
      <c r="BU53">
        <v>726</v>
      </c>
      <c r="CF53">
        <v>6</v>
      </c>
      <c r="CG53">
        <v>76</v>
      </c>
      <c r="CN53">
        <v>2</v>
      </c>
      <c r="CO53">
        <v>3</v>
      </c>
      <c r="CP53">
        <v>4</v>
      </c>
      <c r="CQ53">
        <v>49</v>
      </c>
      <c r="CR53">
        <v>395</v>
      </c>
      <c r="CS53">
        <v>3352</v>
      </c>
      <c r="CU53">
        <v>5</v>
      </c>
      <c r="CV53">
        <v>248</v>
      </c>
      <c r="DE53">
        <v>1</v>
      </c>
      <c r="DF53">
        <v>6</v>
      </c>
      <c r="DG53">
        <v>6</v>
      </c>
      <c r="DH53">
        <v>254</v>
      </c>
      <c r="DI53" s="17">
        <v>401</v>
      </c>
      <c r="DJ53" s="17">
        <v>3449</v>
      </c>
      <c r="DK53" s="17">
        <v>8.600997506234414</v>
      </c>
      <c r="DO53">
        <v>2</v>
      </c>
      <c r="DP53">
        <v>2</v>
      </c>
      <c r="DS53">
        <v>2</v>
      </c>
      <c r="DT53">
        <v>2</v>
      </c>
      <c r="DX53">
        <v>6</v>
      </c>
      <c r="DY53">
        <v>69</v>
      </c>
      <c r="DZ53">
        <v>50</v>
      </c>
      <c r="EA53">
        <v>67</v>
      </c>
      <c r="EB53">
        <v>56</v>
      </c>
      <c r="EC53">
        <v>136</v>
      </c>
      <c r="EI53">
        <v>2</v>
      </c>
      <c r="EJ53">
        <v>6</v>
      </c>
      <c r="EK53">
        <v>2</v>
      </c>
      <c r="EL53">
        <v>6</v>
      </c>
      <c r="ER53">
        <v>20</v>
      </c>
      <c r="ES53">
        <v>41</v>
      </c>
      <c r="ET53">
        <v>12</v>
      </c>
      <c r="EU53">
        <v>54</v>
      </c>
      <c r="EV53">
        <v>32</v>
      </c>
      <c r="EW53">
        <v>95</v>
      </c>
      <c r="EY53">
        <v>6</v>
      </c>
      <c r="EZ53">
        <v>34</v>
      </c>
      <c r="FA53">
        <v>2</v>
      </c>
      <c r="FB53">
        <v>17</v>
      </c>
      <c r="FC53">
        <v>24</v>
      </c>
      <c r="FD53">
        <v>13</v>
      </c>
      <c r="FE53">
        <v>264</v>
      </c>
      <c r="FF53">
        <v>921</v>
      </c>
      <c r="FI53">
        <v>11</v>
      </c>
      <c r="FJ53">
        <v>65</v>
      </c>
      <c r="FM53">
        <v>307</v>
      </c>
      <c r="FN53">
        <v>1050</v>
      </c>
      <c r="FO53" s="17">
        <v>399</v>
      </c>
      <c r="FP53" s="17">
        <v>1289</v>
      </c>
      <c r="FQ53" s="17">
        <v>3.230576441102757</v>
      </c>
      <c r="FT53">
        <v>83</v>
      </c>
      <c r="FU53">
        <v>346</v>
      </c>
      <c r="FX53">
        <v>280</v>
      </c>
      <c r="FY53">
        <v>1684</v>
      </c>
      <c r="FZ53">
        <v>31</v>
      </c>
      <c r="GA53">
        <v>70</v>
      </c>
      <c r="GB53">
        <v>38</v>
      </c>
      <c r="GC53">
        <v>124</v>
      </c>
      <c r="GD53">
        <v>20</v>
      </c>
      <c r="GE53">
        <v>125</v>
      </c>
      <c r="GF53">
        <v>6</v>
      </c>
      <c r="GG53">
        <v>19</v>
      </c>
      <c r="GJ53">
        <v>47</v>
      </c>
    </row>
    <row r="54" spans="1:192" ht="15.75">
      <c r="A54" s="18" t="s">
        <v>328</v>
      </c>
      <c r="B54" t="s">
        <v>55</v>
      </c>
      <c r="C54">
        <v>1</v>
      </c>
      <c r="D54">
        <v>2</v>
      </c>
      <c r="E54">
        <v>7</v>
      </c>
      <c r="F54">
        <v>26</v>
      </c>
      <c r="I54">
        <v>51</v>
      </c>
      <c r="J54">
        <v>78</v>
      </c>
      <c r="K54" s="17">
        <v>59</v>
      </c>
      <c r="L54" s="17">
        <v>106</v>
      </c>
      <c r="M54" s="17">
        <v>1.7966101694915255</v>
      </c>
      <c r="N54">
        <v>7</v>
      </c>
      <c r="O54">
        <v>19</v>
      </c>
      <c r="P54">
        <v>136</v>
      </c>
      <c r="Q54">
        <v>224</v>
      </c>
      <c r="R54">
        <v>27</v>
      </c>
      <c r="S54">
        <v>73</v>
      </c>
      <c r="T54">
        <v>4</v>
      </c>
      <c r="U54">
        <v>20</v>
      </c>
      <c r="X54">
        <v>2</v>
      </c>
      <c r="Y54">
        <v>13</v>
      </c>
      <c r="Z54">
        <v>4</v>
      </c>
      <c r="AA54">
        <v>16</v>
      </c>
      <c r="AB54" s="17">
        <v>180</v>
      </c>
      <c r="AC54" s="17">
        <v>365</v>
      </c>
      <c r="AD54" s="17">
        <v>2.0277777777777777</v>
      </c>
      <c r="AE54">
        <v>1</v>
      </c>
      <c r="AF54">
        <v>28</v>
      </c>
      <c r="AG54">
        <v>39</v>
      </c>
      <c r="AH54">
        <v>47</v>
      </c>
      <c r="AK54">
        <v>8</v>
      </c>
      <c r="AL54">
        <v>20</v>
      </c>
      <c r="AM54" s="17">
        <v>48</v>
      </c>
      <c r="AN54" s="17">
        <v>95</v>
      </c>
      <c r="AO54" s="17">
        <v>1.9791666666666667</v>
      </c>
      <c r="AR54">
        <v>8</v>
      </c>
      <c r="AS54">
        <v>181</v>
      </c>
      <c r="AV54">
        <v>8</v>
      </c>
      <c r="AW54">
        <v>183</v>
      </c>
      <c r="BB54">
        <v>1</v>
      </c>
      <c r="BC54">
        <v>6</v>
      </c>
      <c r="BD54" s="17">
        <v>17</v>
      </c>
      <c r="BE54" s="17">
        <v>370</v>
      </c>
      <c r="BF54" s="17">
        <v>21.764705882352942</v>
      </c>
      <c r="BG54">
        <v>4</v>
      </c>
      <c r="BH54">
        <v>15</v>
      </c>
      <c r="BK54">
        <v>4</v>
      </c>
      <c r="BL54">
        <v>15</v>
      </c>
      <c r="BP54">
        <v>94</v>
      </c>
      <c r="BQ54">
        <v>637</v>
      </c>
      <c r="BT54">
        <v>27</v>
      </c>
      <c r="BU54">
        <v>341</v>
      </c>
      <c r="CF54">
        <v>1</v>
      </c>
      <c r="CG54">
        <v>3</v>
      </c>
      <c r="CP54">
        <v>11</v>
      </c>
      <c r="CQ54">
        <v>41</v>
      </c>
      <c r="CR54">
        <v>133</v>
      </c>
      <c r="CS54">
        <v>1022</v>
      </c>
      <c r="CU54">
        <v>5</v>
      </c>
      <c r="CV54">
        <v>90</v>
      </c>
      <c r="DC54">
        <v>1</v>
      </c>
      <c r="DD54">
        <v>8</v>
      </c>
      <c r="DG54">
        <v>6</v>
      </c>
      <c r="DH54">
        <v>98</v>
      </c>
      <c r="DI54" s="17">
        <v>137</v>
      </c>
      <c r="DJ54" s="17">
        <v>1037</v>
      </c>
      <c r="DK54" s="17">
        <v>7.569343065693431</v>
      </c>
      <c r="DO54">
        <v>1</v>
      </c>
      <c r="DP54">
        <v>1</v>
      </c>
      <c r="DS54">
        <v>1</v>
      </c>
      <c r="DT54">
        <v>1</v>
      </c>
      <c r="DX54">
        <v>15</v>
      </c>
      <c r="DY54">
        <v>18</v>
      </c>
      <c r="DZ54">
        <v>66</v>
      </c>
      <c r="EA54">
        <v>64</v>
      </c>
      <c r="EB54">
        <v>81</v>
      </c>
      <c r="EC54">
        <v>82</v>
      </c>
      <c r="EI54">
        <v>2</v>
      </c>
      <c r="EJ54">
        <v>4</v>
      </c>
      <c r="EK54">
        <v>2</v>
      </c>
      <c r="EL54">
        <v>4</v>
      </c>
      <c r="ER54">
        <v>3</v>
      </c>
      <c r="ES54">
        <v>5</v>
      </c>
      <c r="ET54">
        <v>1</v>
      </c>
      <c r="EU54">
        <v>3</v>
      </c>
      <c r="EV54">
        <v>4</v>
      </c>
      <c r="EW54">
        <v>8</v>
      </c>
      <c r="FC54">
        <v>1</v>
      </c>
      <c r="FD54">
        <v>1</v>
      </c>
      <c r="FE54">
        <v>147</v>
      </c>
      <c r="FF54">
        <v>327</v>
      </c>
      <c r="FM54">
        <v>148</v>
      </c>
      <c r="FN54">
        <v>328</v>
      </c>
      <c r="FO54" s="17">
        <v>236</v>
      </c>
      <c r="FP54" s="17">
        <v>423</v>
      </c>
      <c r="FQ54" s="17">
        <v>1.7923728813559323</v>
      </c>
      <c r="FT54">
        <v>4</v>
      </c>
      <c r="FU54">
        <v>4</v>
      </c>
      <c r="FX54">
        <v>206</v>
      </c>
      <c r="FY54">
        <v>323</v>
      </c>
      <c r="FZ54">
        <v>105</v>
      </c>
      <c r="GA54">
        <v>179</v>
      </c>
      <c r="GB54">
        <v>13</v>
      </c>
      <c r="GC54">
        <v>24</v>
      </c>
      <c r="GD54">
        <v>10</v>
      </c>
      <c r="GE54">
        <v>16</v>
      </c>
      <c r="GF54">
        <v>2</v>
      </c>
      <c r="GG54">
        <v>12</v>
      </c>
      <c r="GJ54">
        <v>39</v>
      </c>
    </row>
    <row r="55" spans="1:192" ht="15.75">
      <c r="A55" s="18" t="s">
        <v>329</v>
      </c>
      <c r="B55" t="s">
        <v>331</v>
      </c>
      <c r="E55">
        <v>2</v>
      </c>
      <c r="F55">
        <v>16</v>
      </c>
      <c r="G55">
        <v>7</v>
      </c>
      <c r="H55">
        <v>121</v>
      </c>
      <c r="I55">
        <v>8</v>
      </c>
      <c r="J55">
        <v>22</v>
      </c>
      <c r="K55" s="17">
        <v>17</v>
      </c>
      <c r="L55" s="17">
        <v>159</v>
      </c>
      <c r="M55" s="17">
        <v>9.352941176470589</v>
      </c>
      <c r="P55">
        <v>46</v>
      </c>
      <c r="Q55">
        <v>150</v>
      </c>
      <c r="R55">
        <v>14</v>
      </c>
      <c r="S55">
        <v>113</v>
      </c>
      <c r="T55">
        <v>3</v>
      </c>
      <c r="U55">
        <v>16</v>
      </c>
      <c r="V55">
        <v>7</v>
      </c>
      <c r="W55">
        <v>98</v>
      </c>
      <c r="X55">
        <v>1</v>
      </c>
      <c r="Y55">
        <v>14</v>
      </c>
      <c r="Z55">
        <v>11</v>
      </c>
      <c r="AA55">
        <v>41</v>
      </c>
      <c r="AB55" s="17">
        <v>82</v>
      </c>
      <c r="AC55" s="17">
        <v>432</v>
      </c>
      <c r="AD55" s="17">
        <v>5.2682926829268295</v>
      </c>
      <c r="AE55">
        <v>1</v>
      </c>
      <c r="AF55">
        <v>19</v>
      </c>
      <c r="AK55">
        <v>5</v>
      </c>
      <c r="AL55">
        <v>26</v>
      </c>
      <c r="AM55" s="17">
        <v>6</v>
      </c>
      <c r="AN55" s="17">
        <v>45</v>
      </c>
      <c r="AO55" s="17">
        <v>7.5</v>
      </c>
      <c r="AP55">
        <v>1</v>
      </c>
      <c r="AQ55">
        <v>70</v>
      </c>
      <c r="AR55">
        <v>5</v>
      </c>
      <c r="AS55">
        <v>465</v>
      </c>
      <c r="AV55">
        <v>3</v>
      </c>
      <c r="AW55">
        <v>22</v>
      </c>
      <c r="AX55">
        <v>1</v>
      </c>
      <c r="AY55">
        <v>113</v>
      </c>
      <c r="BD55" s="17">
        <v>10</v>
      </c>
      <c r="BE55" s="17">
        <v>670</v>
      </c>
      <c r="BF55" s="17">
        <v>67</v>
      </c>
      <c r="BI55">
        <v>22</v>
      </c>
      <c r="BJ55">
        <v>253</v>
      </c>
      <c r="BK55">
        <v>22</v>
      </c>
      <c r="BL55">
        <v>253</v>
      </c>
      <c r="BP55">
        <v>36</v>
      </c>
      <c r="BQ55">
        <v>1841</v>
      </c>
      <c r="BT55">
        <v>30</v>
      </c>
      <c r="BU55">
        <v>178</v>
      </c>
      <c r="CF55">
        <v>2</v>
      </c>
      <c r="CG55">
        <v>55</v>
      </c>
      <c r="CR55">
        <v>68</v>
      </c>
      <c r="CS55">
        <v>2074</v>
      </c>
      <c r="CU55">
        <v>3</v>
      </c>
      <c r="CV55">
        <v>215</v>
      </c>
      <c r="DE55">
        <v>1</v>
      </c>
      <c r="DF55">
        <v>22</v>
      </c>
      <c r="DG55">
        <v>4</v>
      </c>
      <c r="DH55">
        <v>237</v>
      </c>
      <c r="DI55" s="17">
        <v>90</v>
      </c>
      <c r="DJ55" s="17">
        <v>2327</v>
      </c>
      <c r="DK55" s="17">
        <v>25.855555555555554</v>
      </c>
      <c r="DS55">
        <v>0</v>
      </c>
      <c r="DT55">
        <v>0</v>
      </c>
      <c r="DV55">
        <v>10</v>
      </c>
      <c r="DW55">
        <v>100</v>
      </c>
      <c r="DX55">
        <v>1</v>
      </c>
      <c r="DY55">
        <v>23</v>
      </c>
      <c r="DZ55">
        <v>12</v>
      </c>
      <c r="EA55">
        <v>22</v>
      </c>
      <c r="EB55">
        <v>23</v>
      </c>
      <c r="EC55">
        <v>145</v>
      </c>
      <c r="EI55">
        <v>4</v>
      </c>
      <c r="EJ55">
        <v>56</v>
      </c>
      <c r="EK55">
        <v>4</v>
      </c>
      <c r="EL55">
        <v>56</v>
      </c>
      <c r="EN55">
        <v>2</v>
      </c>
      <c r="EO55">
        <v>7</v>
      </c>
      <c r="ET55">
        <v>3</v>
      </c>
      <c r="EU55">
        <v>38</v>
      </c>
      <c r="EV55">
        <v>5</v>
      </c>
      <c r="EW55">
        <v>45</v>
      </c>
      <c r="FE55">
        <v>43</v>
      </c>
      <c r="FF55">
        <v>236</v>
      </c>
      <c r="FM55">
        <v>43</v>
      </c>
      <c r="FN55">
        <v>236</v>
      </c>
      <c r="FO55" s="17">
        <v>75</v>
      </c>
      <c r="FP55" s="17">
        <v>482</v>
      </c>
      <c r="FQ55" s="17">
        <v>6.426666666666667</v>
      </c>
      <c r="FX55">
        <v>84</v>
      </c>
      <c r="FY55">
        <v>398</v>
      </c>
      <c r="GB55">
        <v>1</v>
      </c>
      <c r="GC55">
        <v>15</v>
      </c>
      <c r="GD55">
        <v>3</v>
      </c>
      <c r="GE55">
        <v>11</v>
      </c>
      <c r="GJ55">
        <v>2</v>
      </c>
    </row>
    <row r="56" spans="1:189" ht="15.75">
      <c r="A56" s="18" t="s">
        <v>330</v>
      </c>
      <c r="B56" t="s">
        <v>57</v>
      </c>
      <c r="C56">
        <v>14</v>
      </c>
      <c r="D56">
        <v>62</v>
      </c>
      <c r="E56">
        <v>14</v>
      </c>
      <c r="F56">
        <v>69</v>
      </c>
      <c r="I56">
        <v>266</v>
      </c>
      <c r="J56">
        <v>699</v>
      </c>
      <c r="K56" s="17">
        <v>294</v>
      </c>
      <c r="L56" s="17">
        <v>830</v>
      </c>
      <c r="M56" s="17">
        <v>2.82312925170068</v>
      </c>
      <c r="N56">
        <v>31</v>
      </c>
      <c r="O56">
        <v>192</v>
      </c>
      <c r="P56">
        <v>523</v>
      </c>
      <c r="Q56">
        <v>1486</v>
      </c>
      <c r="R56">
        <v>75</v>
      </c>
      <c r="S56">
        <v>349</v>
      </c>
      <c r="T56">
        <v>21</v>
      </c>
      <c r="U56">
        <v>162</v>
      </c>
      <c r="V56">
        <v>9</v>
      </c>
      <c r="W56">
        <v>49</v>
      </c>
      <c r="X56">
        <v>6</v>
      </c>
      <c r="Y56">
        <v>22</v>
      </c>
      <c r="Z56">
        <v>15</v>
      </c>
      <c r="AA56">
        <v>99</v>
      </c>
      <c r="AB56" s="17">
        <v>680</v>
      </c>
      <c r="AC56" s="17">
        <v>2359</v>
      </c>
      <c r="AD56" s="17">
        <v>3.4691176470588236</v>
      </c>
      <c r="AE56">
        <v>3</v>
      </c>
      <c r="AF56">
        <v>50</v>
      </c>
      <c r="AG56">
        <v>194</v>
      </c>
      <c r="AH56">
        <v>549</v>
      </c>
      <c r="AI56">
        <v>48</v>
      </c>
      <c r="AJ56">
        <v>317</v>
      </c>
      <c r="AK56">
        <v>5</v>
      </c>
      <c r="AL56">
        <v>40</v>
      </c>
      <c r="AM56" s="17">
        <v>250</v>
      </c>
      <c r="AN56" s="17">
        <v>956</v>
      </c>
      <c r="AO56" s="17">
        <v>3.824</v>
      </c>
      <c r="AP56">
        <v>4</v>
      </c>
      <c r="AQ56">
        <v>4</v>
      </c>
      <c r="AR56">
        <v>14</v>
      </c>
      <c r="AS56">
        <v>484</v>
      </c>
      <c r="AT56">
        <v>4</v>
      </c>
      <c r="AU56">
        <v>130</v>
      </c>
      <c r="AV56">
        <v>35</v>
      </c>
      <c r="AW56">
        <v>342</v>
      </c>
      <c r="BD56" s="17">
        <v>57</v>
      </c>
      <c r="BE56" s="17">
        <v>960</v>
      </c>
      <c r="BF56" s="17">
        <v>16.842105263157894</v>
      </c>
      <c r="BG56">
        <v>6</v>
      </c>
      <c r="BH56">
        <v>17</v>
      </c>
      <c r="BK56">
        <v>6</v>
      </c>
      <c r="BL56">
        <v>17</v>
      </c>
      <c r="BP56">
        <v>514</v>
      </c>
      <c r="BQ56">
        <v>5373</v>
      </c>
      <c r="BT56">
        <v>71</v>
      </c>
      <c r="BU56">
        <v>625</v>
      </c>
      <c r="CF56">
        <v>4</v>
      </c>
      <c r="CG56">
        <v>54</v>
      </c>
      <c r="CP56">
        <v>36</v>
      </c>
      <c r="CQ56">
        <v>253</v>
      </c>
      <c r="CR56">
        <v>625</v>
      </c>
      <c r="CS56">
        <v>6305</v>
      </c>
      <c r="CU56">
        <v>12</v>
      </c>
      <c r="CV56">
        <v>469</v>
      </c>
      <c r="DE56">
        <v>1</v>
      </c>
      <c r="DF56">
        <v>12</v>
      </c>
      <c r="DG56">
        <v>13</v>
      </c>
      <c r="DH56">
        <v>481</v>
      </c>
      <c r="DI56" s="17">
        <v>631</v>
      </c>
      <c r="DJ56" s="17">
        <v>6322</v>
      </c>
      <c r="DK56" s="17">
        <v>10.019017432646592</v>
      </c>
      <c r="DL56">
        <v>1</v>
      </c>
      <c r="DM56">
        <v>59</v>
      </c>
      <c r="DO56">
        <v>46</v>
      </c>
      <c r="DP56">
        <v>129</v>
      </c>
      <c r="DS56">
        <v>46</v>
      </c>
      <c r="DT56">
        <v>129</v>
      </c>
      <c r="DX56">
        <v>75</v>
      </c>
      <c r="DY56">
        <v>203</v>
      </c>
      <c r="DZ56">
        <v>95</v>
      </c>
      <c r="EA56">
        <v>255</v>
      </c>
      <c r="EB56">
        <v>170</v>
      </c>
      <c r="EC56">
        <v>458</v>
      </c>
      <c r="EI56">
        <v>9</v>
      </c>
      <c r="EJ56">
        <v>56</v>
      </c>
      <c r="EK56">
        <v>9</v>
      </c>
      <c r="EL56">
        <v>56</v>
      </c>
      <c r="ER56">
        <v>10</v>
      </c>
      <c r="ES56">
        <v>37</v>
      </c>
      <c r="ET56">
        <v>1</v>
      </c>
      <c r="EU56">
        <v>21</v>
      </c>
      <c r="EV56">
        <v>11</v>
      </c>
      <c r="EW56">
        <v>58</v>
      </c>
      <c r="EY56">
        <v>15</v>
      </c>
      <c r="EZ56">
        <v>183</v>
      </c>
      <c r="FA56">
        <v>2</v>
      </c>
      <c r="FB56">
        <v>3</v>
      </c>
      <c r="FC56">
        <v>39</v>
      </c>
      <c r="FD56">
        <v>28</v>
      </c>
      <c r="FE56">
        <v>435</v>
      </c>
      <c r="FF56">
        <v>1687</v>
      </c>
      <c r="FI56">
        <v>15</v>
      </c>
      <c r="FJ56">
        <v>100</v>
      </c>
      <c r="FM56">
        <v>506</v>
      </c>
      <c r="FN56">
        <v>2001</v>
      </c>
      <c r="FO56" s="17">
        <v>743</v>
      </c>
      <c r="FP56" s="17">
        <v>2761</v>
      </c>
      <c r="FQ56" s="17">
        <v>3.7160161507402423</v>
      </c>
      <c r="FT56">
        <v>20</v>
      </c>
      <c r="FU56">
        <v>285</v>
      </c>
      <c r="FV56">
        <v>1</v>
      </c>
      <c r="FW56">
        <v>15</v>
      </c>
      <c r="FX56">
        <v>345</v>
      </c>
      <c r="FY56">
        <v>1145</v>
      </c>
      <c r="FZ56">
        <v>244</v>
      </c>
      <c r="GA56">
        <v>764</v>
      </c>
      <c r="GB56">
        <v>71</v>
      </c>
      <c r="GC56">
        <v>260</v>
      </c>
      <c r="GD56">
        <v>23</v>
      </c>
      <c r="GE56">
        <v>102</v>
      </c>
      <c r="GF56">
        <v>3</v>
      </c>
      <c r="GG56">
        <v>29</v>
      </c>
    </row>
    <row r="57" spans="1:189" ht="15.75">
      <c r="A57" s="19" t="s">
        <v>333</v>
      </c>
      <c r="B57" t="s">
        <v>58</v>
      </c>
      <c r="E57">
        <v>17</v>
      </c>
      <c r="F57">
        <v>116</v>
      </c>
      <c r="I57">
        <v>48</v>
      </c>
      <c r="J57">
        <v>393</v>
      </c>
      <c r="K57" s="17">
        <v>65</v>
      </c>
      <c r="L57" s="17">
        <v>509</v>
      </c>
      <c r="M57" s="17">
        <v>7.8307692307692305</v>
      </c>
      <c r="N57">
        <v>22</v>
      </c>
      <c r="O57">
        <v>175</v>
      </c>
      <c r="P57">
        <v>96</v>
      </c>
      <c r="Q57">
        <v>564</v>
      </c>
      <c r="R57">
        <v>38</v>
      </c>
      <c r="S57">
        <v>385</v>
      </c>
      <c r="T57">
        <v>18</v>
      </c>
      <c r="U57">
        <v>202</v>
      </c>
      <c r="V57">
        <v>9</v>
      </c>
      <c r="W57">
        <v>124</v>
      </c>
      <c r="X57">
        <v>8</v>
      </c>
      <c r="Y57">
        <v>76</v>
      </c>
      <c r="Z57">
        <v>16</v>
      </c>
      <c r="AA57">
        <v>130</v>
      </c>
      <c r="AB57" s="17">
        <v>207</v>
      </c>
      <c r="AC57" s="17">
        <v>1656</v>
      </c>
      <c r="AD57" s="17">
        <v>8</v>
      </c>
      <c r="AE57">
        <v>16</v>
      </c>
      <c r="AF57">
        <v>132</v>
      </c>
      <c r="AK57">
        <v>3</v>
      </c>
      <c r="AL57">
        <v>24</v>
      </c>
      <c r="AM57" s="17">
        <v>19</v>
      </c>
      <c r="AN57" s="17">
        <v>156</v>
      </c>
      <c r="AO57" s="17">
        <v>8.210526315789474</v>
      </c>
      <c r="AP57">
        <v>1</v>
      </c>
      <c r="AQ57">
        <v>350</v>
      </c>
      <c r="AR57">
        <v>13</v>
      </c>
      <c r="AS57">
        <v>530</v>
      </c>
      <c r="AT57">
        <v>6</v>
      </c>
      <c r="AU57">
        <v>846</v>
      </c>
      <c r="AV57">
        <v>21</v>
      </c>
      <c r="AW57">
        <v>240</v>
      </c>
      <c r="BB57">
        <v>6</v>
      </c>
      <c r="BC57">
        <v>57</v>
      </c>
      <c r="BD57" s="17">
        <v>47</v>
      </c>
      <c r="BE57" s="17">
        <v>2023</v>
      </c>
      <c r="BF57" s="17">
        <v>43.04255319148936</v>
      </c>
      <c r="BG57">
        <v>5</v>
      </c>
      <c r="BH57">
        <v>36</v>
      </c>
      <c r="BI57">
        <v>60</v>
      </c>
      <c r="BJ57">
        <v>311</v>
      </c>
      <c r="BK57">
        <v>65</v>
      </c>
      <c r="BL57">
        <v>347</v>
      </c>
      <c r="BP57">
        <v>146</v>
      </c>
      <c r="BQ57">
        <v>2258</v>
      </c>
      <c r="BT57">
        <v>64</v>
      </c>
      <c r="BU57">
        <v>764</v>
      </c>
      <c r="CF57">
        <v>9</v>
      </c>
      <c r="CG57">
        <v>145</v>
      </c>
      <c r="CP57">
        <v>6</v>
      </c>
      <c r="CQ57">
        <v>36</v>
      </c>
      <c r="CR57">
        <v>225</v>
      </c>
      <c r="CS57">
        <v>3203</v>
      </c>
      <c r="CU57">
        <v>6</v>
      </c>
      <c r="CV57">
        <v>169</v>
      </c>
      <c r="DC57">
        <v>3</v>
      </c>
      <c r="DD57">
        <v>36</v>
      </c>
      <c r="DE57">
        <v>6</v>
      </c>
      <c r="DF57">
        <v>50</v>
      </c>
      <c r="DG57">
        <v>15</v>
      </c>
      <c r="DH57">
        <v>255</v>
      </c>
      <c r="DI57" s="17">
        <v>290</v>
      </c>
      <c r="DJ57" s="17">
        <v>3550</v>
      </c>
      <c r="DK57" s="17">
        <v>12.241379310344827</v>
      </c>
      <c r="DO57">
        <v>7</v>
      </c>
      <c r="DP57">
        <v>82</v>
      </c>
      <c r="DQ57">
        <v>43</v>
      </c>
      <c r="DR57">
        <v>492</v>
      </c>
      <c r="DS57">
        <v>50</v>
      </c>
      <c r="DT57">
        <v>574</v>
      </c>
      <c r="DX57">
        <v>31</v>
      </c>
      <c r="DY57">
        <v>269</v>
      </c>
      <c r="DZ57">
        <v>318</v>
      </c>
      <c r="EA57">
        <v>2651</v>
      </c>
      <c r="EB57">
        <v>349</v>
      </c>
      <c r="EC57">
        <v>2920</v>
      </c>
      <c r="EE57">
        <v>3</v>
      </c>
      <c r="EF57">
        <v>28</v>
      </c>
      <c r="EG57">
        <v>69</v>
      </c>
      <c r="EH57">
        <v>406</v>
      </c>
      <c r="EI57">
        <v>4</v>
      </c>
      <c r="EJ57">
        <v>31</v>
      </c>
      <c r="EK57">
        <v>76</v>
      </c>
      <c r="EL57">
        <v>465</v>
      </c>
      <c r="ET57">
        <v>10</v>
      </c>
      <c r="EU57">
        <v>69</v>
      </c>
      <c r="EV57">
        <v>10</v>
      </c>
      <c r="EW57">
        <v>69</v>
      </c>
      <c r="EY57">
        <v>2</v>
      </c>
      <c r="EZ57">
        <v>12</v>
      </c>
      <c r="FA57">
        <v>1</v>
      </c>
      <c r="FB57">
        <v>5</v>
      </c>
      <c r="FE57">
        <v>125</v>
      </c>
      <c r="FF57">
        <v>1044</v>
      </c>
      <c r="FI57">
        <v>4</v>
      </c>
      <c r="FJ57">
        <v>20</v>
      </c>
      <c r="FK57">
        <v>4</v>
      </c>
      <c r="FL57">
        <v>37</v>
      </c>
      <c r="FM57">
        <v>136</v>
      </c>
      <c r="FN57">
        <v>1118</v>
      </c>
      <c r="FO57" s="17">
        <v>621</v>
      </c>
      <c r="FP57" s="17">
        <v>5146</v>
      </c>
      <c r="FQ57" s="17">
        <v>8.286634460547504</v>
      </c>
      <c r="FT57">
        <v>38</v>
      </c>
      <c r="FU57">
        <v>486</v>
      </c>
      <c r="FV57">
        <v>5</v>
      </c>
      <c r="FW57">
        <v>38</v>
      </c>
      <c r="FX57">
        <v>332</v>
      </c>
      <c r="FY57">
        <v>1684</v>
      </c>
      <c r="GB57">
        <v>25</v>
      </c>
      <c r="GC57">
        <v>266</v>
      </c>
      <c r="GD57">
        <v>9</v>
      </c>
      <c r="GE57">
        <v>121</v>
      </c>
      <c r="GF57">
        <v>7</v>
      </c>
      <c r="GG57">
        <v>41</v>
      </c>
    </row>
    <row r="58" spans="1:189" ht="15.75">
      <c r="A58" s="19" t="s">
        <v>334</v>
      </c>
      <c r="B58" t="s">
        <v>59</v>
      </c>
      <c r="C58">
        <v>3</v>
      </c>
      <c r="D58">
        <v>26</v>
      </c>
      <c r="E58">
        <v>6</v>
      </c>
      <c r="F58">
        <v>85</v>
      </c>
      <c r="I58">
        <v>22</v>
      </c>
      <c r="J58">
        <v>170</v>
      </c>
      <c r="K58" s="17">
        <v>31</v>
      </c>
      <c r="L58" s="17">
        <v>281</v>
      </c>
      <c r="M58" s="17">
        <v>9.064516129032258</v>
      </c>
      <c r="N58">
        <v>4</v>
      </c>
      <c r="O58">
        <v>28</v>
      </c>
      <c r="P58">
        <v>15</v>
      </c>
      <c r="Q58">
        <v>146</v>
      </c>
      <c r="R58">
        <v>19</v>
      </c>
      <c r="S58">
        <v>188</v>
      </c>
      <c r="T58">
        <v>16</v>
      </c>
      <c r="U58">
        <v>206</v>
      </c>
      <c r="V58">
        <v>5</v>
      </c>
      <c r="W58">
        <v>86</v>
      </c>
      <c r="X58">
        <v>10</v>
      </c>
      <c r="Y58">
        <v>79</v>
      </c>
      <c r="Z58">
        <v>12</v>
      </c>
      <c r="AA58">
        <v>98</v>
      </c>
      <c r="AB58" s="17">
        <v>81</v>
      </c>
      <c r="AC58" s="17">
        <v>831</v>
      </c>
      <c r="AD58" s="17">
        <v>10.25925925925926</v>
      </c>
      <c r="AE58">
        <v>44</v>
      </c>
      <c r="AF58">
        <v>302</v>
      </c>
      <c r="AG58">
        <v>17</v>
      </c>
      <c r="AH58">
        <v>90</v>
      </c>
      <c r="AI58">
        <v>3</v>
      </c>
      <c r="AJ58">
        <v>89</v>
      </c>
      <c r="AK58">
        <v>3</v>
      </c>
      <c r="AL58">
        <v>19</v>
      </c>
      <c r="AM58" s="17">
        <v>67</v>
      </c>
      <c r="AN58" s="17">
        <v>500</v>
      </c>
      <c r="AO58" s="17">
        <v>7.462686567164179</v>
      </c>
      <c r="AR58">
        <v>14</v>
      </c>
      <c r="AS58">
        <v>316</v>
      </c>
      <c r="AT58">
        <v>1</v>
      </c>
      <c r="AU58">
        <v>10</v>
      </c>
      <c r="AV58">
        <v>16</v>
      </c>
      <c r="AW58">
        <v>201</v>
      </c>
      <c r="BB58">
        <v>3</v>
      </c>
      <c r="BC58">
        <v>30</v>
      </c>
      <c r="BD58" s="17">
        <v>34</v>
      </c>
      <c r="BE58" s="17">
        <v>557</v>
      </c>
      <c r="BF58" s="17">
        <v>16.38235294117647</v>
      </c>
      <c r="BG58">
        <v>2</v>
      </c>
      <c r="BH58">
        <v>10</v>
      </c>
      <c r="BI58">
        <v>1</v>
      </c>
      <c r="BJ58">
        <v>7</v>
      </c>
      <c r="BK58">
        <v>3</v>
      </c>
      <c r="BL58">
        <v>17</v>
      </c>
      <c r="BP58">
        <v>151</v>
      </c>
      <c r="BQ58">
        <v>2000</v>
      </c>
      <c r="BT58">
        <v>49</v>
      </c>
      <c r="BU58">
        <v>445</v>
      </c>
      <c r="CF58">
        <v>4</v>
      </c>
      <c r="CG58">
        <v>49</v>
      </c>
      <c r="CN58">
        <v>4</v>
      </c>
      <c r="CO58">
        <v>16</v>
      </c>
      <c r="CQ58">
        <v>6</v>
      </c>
      <c r="CR58">
        <v>208</v>
      </c>
      <c r="CS58">
        <v>2516</v>
      </c>
      <c r="CU58">
        <v>16</v>
      </c>
      <c r="CV58">
        <v>230</v>
      </c>
      <c r="CW58">
        <v>3</v>
      </c>
      <c r="CX58">
        <v>14</v>
      </c>
      <c r="DC58">
        <v>44</v>
      </c>
      <c r="DD58">
        <v>819</v>
      </c>
      <c r="DE58">
        <v>8</v>
      </c>
      <c r="DF58">
        <v>63</v>
      </c>
      <c r="DG58">
        <v>71</v>
      </c>
      <c r="DH58">
        <v>1126</v>
      </c>
      <c r="DI58" s="17">
        <v>214</v>
      </c>
      <c r="DJ58" s="17">
        <v>2547</v>
      </c>
      <c r="DK58" s="17">
        <v>11.901869158878505</v>
      </c>
      <c r="DO58">
        <v>30</v>
      </c>
      <c r="DP58">
        <v>355</v>
      </c>
      <c r="DQ58">
        <v>61</v>
      </c>
      <c r="DR58">
        <v>709</v>
      </c>
      <c r="DS58">
        <v>91</v>
      </c>
      <c r="DT58">
        <v>1064</v>
      </c>
      <c r="DX58">
        <v>52</v>
      </c>
      <c r="DY58">
        <v>482</v>
      </c>
      <c r="DZ58">
        <v>28</v>
      </c>
      <c r="EA58">
        <v>228</v>
      </c>
      <c r="EB58">
        <v>80</v>
      </c>
      <c r="EC58">
        <v>710</v>
      </c>
      <c r="EE58">
        <v>2</v>
      </c>
      <c r="EF58">
        <v>40</v>
      </c>
      <c r="EI58">
        <v>6</v>
      </c>
      <c r="EJ58">
        <v>52</v>
      </c>
      <c r="EK58">
        <v>8</v>
      </c>
      <c r="EL58">
        <v>92</v>
      </c>
      <c r="EN58">
        <v>1</v>
      </c>
      <c r="EO58">
        <v>8</v>
      </c>
      <c r="EP58">
        <v>6</v>
      </c>
      <c r="EQ58">
        <v>35</v>
      </c>
      <c r="ER58">
        <v>1</v>
      </c>
      <c r="ES58">
        <v>7</v>
      </c>
      <c r="ET58">
        <v>3</v>
      </c>
      <c r="EU58">
        <v>19</v>
      </c>
      <c r="EV58">
        <v>11</v>
      </c>
      <c r="EW58">
        <v>69</v>
      </c>
      <c r="EY58">
        <v>6</v>
      </c>
      <c r="EZ58">
        <v>13</v>
      </c>
      <c r="FE58">
        <v>86</v>
      </c>
      <c r="FF58">
        <v>574</v>
      </c>
      <c r="FI58">
        <v>2</v>
      </c>
      <c r="FJ58">
        <v>7</v>
      </c>
      <c r="FK58">
        <v>5</v>
      </c>
      <c r="FL58">
        <v>23</v>
      </c>
      <c r="FM58">
        <v>99</v>
      </c>
      <c r="FN58">
        <v>617</v>
      </c>
      <c r="FO58" s="17">
        <v>289</v>
      </c>
      <c r="FP58" s="17">
        <v>2552</v>
      </c>
      <c r="FQ58" s="17">
        <v>8.83044982698962</v>
      </c>
      <c r="FT58">
        <v>63</v>
      </c>
      <c r="FU58">
        <v>626</v>
      </c>
      <c r="FV58">
        <v>8</v>
      </c>
      <c r="FW58">
        <v>44</v>
      </c>
      <c r="FX58">
        <v>81</v>
      </c>
      <c r="FY58">
        <v>562</v>
      </c>
      <c r="FZ58">
        <v>104</v>
      </c>
      <c r="GA58">
        <v>807</v>
      </c>
      <c r="GB58">
        <v>31</v>
      </c>
      <c r="GC58">
        <v>303</v>
      </c>
      <c r="GD58">
        <v>16</v>
      </c>
      <c r="GE58">
        <v>118</v>
      </c>
      <c r="GF58">
        <v>3</v>
      </c>
      <c r="GG58">
        <v>24</v>
      </c>
    </row>
    <row r="59" spans="1:189" ht="15.75">
      <c r="A59" s="19" t="s">
        <v>335</v>
      </c>
      <c r="B59" t="s">
        <v>60</v>
      </c>
      <c r="E59">
        <v>4</v>
      </c>
      <c r="F59">
        <v>45</v>
      </c>
      <c r="I59">
        <v>10</v>
      </c>
      <c r="J59">
        <v>89</v>
      </c>
      <c r="K59" s="17">
        <v>14</v>
      </c>
      <c r="L59" s="17">
        <v>134</v>
      </c>
      <c r="M59" s="17">
        <v>9.571428571428571</v>
      </c>
      <c r="N59">
        <v>3</v>
      </c>
      <c r="O59">
        <v>25</v>
      </c>
      <c r="P59">
        <v>16</v>
      </c>
      <c r="Q59">
        <v>114</v>
      </c>
      <c r="R59">
        <v>6</v>
      </c>
      <c r="S59">
        <v>49</v>
      </c>
      <c r="T59">
        <v>3</v>
      </c>
      <c r="U59">
        <v>30</v>
      </c>
      <c r="V59">
        <v>6</v>
      </c>
      <c r="W59">
        <v>55</v>
      </c>
      <c r="Z59">
        <v>2</v>
      </c>
      <c r="AA59">
        <v>14</v>
      </c>
      <c r="AB59" s="17">
        <v>36</v>
      </c>
      <c r="AC59" s="17">
        <v>287</v>
      </c>
      <c r="AD59" s="17">
        <v>7.972222222222222</v>
      </c>
      <c r="AE59">
        <v>5</v>
      </c>
      <c r="AF59">
        <v>34</v>
      </c>
      <c r="AG59">
        <v>18</v>
      </c>
      <c r="AH59">
        <v>104</v>
      </c>
      <c r="AM59" s="17">
        <v>23</v>
      </c>
      <c r="AN59" s="17">
        <v>138</v>
      </c>
      <c r="AO59" s="17">
        <v>6</v>
      </c>
      <c r="AR59">
        <v>10</v>
      </c>
      <c r="AS59">
        <v>214</v>
      </c>
      <c r="AT59">
        <v>1</v>
      </c>
      <c r="AU59">
        <v>11</v>
      </c>
      <c r="AV59">
        <v>10</v>
      </c>
      <c r="AW59">
        <v>93</v>
      </c>
      <c r="BD59" s="17">
        <v>21</v>
      </c>
      <c r="BE59" s="17">
        <v>318</v>
      </c>
      <c r="BF59" s="17">
        <v>15.142857142857142</v>
      </c>
      <c r="BI59">
        <v>1</v>
      </c>
      <c r="BJ59">
        <v>23</v>
      </c>
      <c r="BK59">
        <v>1</v>
      </c>
      <c r="BL59">
        <v>23</v>
      </c>
      <c r="BT59">
        <v>14</v>
      </c>
      <c r="BU59">
        <v>117</v>
      </c>
      <c r="CF59">
        <v>1</v>
      </c>
      <c r="CG59">
        <v>20</v>
      </c>
      <c r="CP59">
        <v>1</v>
      </c>
      <c r="CR59">
        <v>16</v>
      </c>
      <c r="CS59">
        <v>137</v>
      </c>
      <c r="CU59">
        <v>4</v>
      </c>
      <c r="CV59">
        <v>215</v>
      </c>
      <c r="DC59">
        <v>24</v>
      </c>
      <c r="DD59">
        <v>1122</v>
      </c>
      <c r="DE59">
        <v>1</v>
      </c>
      <c r="DF59">
        <v>14</v>
      </c>
      <c r="DG59">
        <v>29</v>
      </c>
      <c r="DH59">
        <v>1351</v>
      </c>
      <c r="DI59" s="17">
        <v>17</v>
      </c>
      <c r="DJ59" s="17">
        <v>160</v>
      </c>
      <c r="DK59" s="17">
        <v>9.411764705882353</v>
      </c>
      <c r="DS59">
        <v>0</v>
      </c>
      <c r="DT59">
        <v>0</v>
      </c>
      <c r="DX59">
        <v>3</v>
      </c>
      <c r="DY59">
        <v>19</v>
      </c>
      <c r="DZ59">
        <v>4</v>
      </c>
      <c r="EA59">
        <v>27</v>
      </c>
      <c r="EB59">
        <v>7</v>
      </c>
      <c r="EC59">
        <v>46</v>
      </c>
      <c r="EI59">
        <v>2</v>
      </c>
      <c r="EJ59">
        <v>16</v>
      </c>
      <c r="EK59">
        <v>2</v>
      </c>
      <c r="EL59">
        <v>16</v>
      </c>
      <c r="ER59">
        <v>5</v>
      </c>
      <c r="ES59">
        <v>46</v>
      </c>
      <c r="ET59">
        <v>1</v>
      </c>
      <c r="EU59">
        <v>5</v>
      </c>
      <c r="EV59">
        <v>6</v>
      </c>
      <c r="EW59">
        <v>51</v>
      </c>
      <c r="FA59">
        <v>1</v>
      </c>
      <c r="FB59">
        <v>14</v>
      </c>
      <c r="FE59">
        <v>39</v>
      </c>
      <c r="FF59">
        <v>433</v>
      </c>
      <c r="FM59">
        <v>40</v>
      </c>
      <c r="FN59">
        <v>447</v>
      </c>
      <c r="FO59" s="17">
        <v>55</v>
      </c>
      <c r="FP59" s="17">
        <v>560</v>
      </c>
      <c r="FQ59" s="17">
        <v>10.181818181818182</v>
      </c>
      <c r="FT59">
        <v>72</v>
      </c>
      <c r="FU59">
        <v>612</v>
      </c>
      <c r="FX59">
        <v>20</v>
      </c>
      <c r="FY59">
        <v>164</v>
      </c>
      <c r="FZ59">
        <v>137</v>
      </c>
      <c r="GA59">
        <v>1000</v>
      </c>
      <c r="GB59">
        <v>16</v>
      </c>
      <c r="GC59">
        <v>133</v>
      </c>
      <c r="GD59">
        <v>9</v>
      </c>
      <c r="GE59">
        <v>56</v>
      </c>
      <c r="GF59">
        <v>1</v>
      </c>
      <c r="GG59">
        <v>9</v>
      </c>
    </row>
    <row r="60" spans="1:189" ht="15.75">
      <c r="A60" s="19" t="s">
        <v>336</v>
      </c>
      <c r="B60" t="s">
        <v>61</v>
      </c>
      <c r="E60">
        <v>5</v>
      </c>
      <c r="F60">
        <v>44</v>
      </c>
      <c r="I60">
        <v>31</v>
      </c>
      <c r="J60">
        <v>237</v>
      </c>
      <c r="K60" s="17">
        <v>36</v>
      </c>
      <c r="L60" s="17">
        <v>281</v>
      </c>
      <c r="M60" s="17">
        <v>7.805555555555555</v>
      </c>
      <c r="N60">
        <v>5</v>
      </c>
      <c r="O60">
        <v>45</v>
      </c>
      <c r="P60">
        <v>37</v>
      </c>
      <c r="Q60">
        <v>357</v>
      </c>
      <c r="R60">
        <v>16</v>
      </c>
      <c r="S60">
        <v>130</v>
      </c>
      <c r="T60">
        <v>5</v>
      </c>
      <c r="U60">
        <v>50</v>
      </c>
      <c r="V60">
        <v>4</v>
      </c>
      <c r="W60">
        <v>33</v>
      </c>
      <c r="X60">
        <v>2</v>
      </c>
      <c r="Y60">
        <v>15</v>
      </c>
      <c r="Z60">
        <v>8</v>
      </c>
      <c r="AA60">
        <v>72</v>
      </c>
      <c r="AB60" s="17">
        <v>77</v>
      </c>
      <c r="AC60" s="17">
        <v>702</v>
      </c>
      <c r="AD60" s="17">
        <v>9.116883116883116</v>
      </c>
      <c r="AE60">
        <v>2</v>
      </c>
      <c r="AF60">
        <v>32</v>
      </c>
      <c r="AG60">
        <v>38</v>
      </c>
      <c r="AH60">
        <v>242</v>
      </c>
      <c r="AI60">
        <v>1</v>
      </c>
      <c r="AJ60">
        <v>56</v>
      </c>
      <c r="AK60">
        <v>12</v>
      </c>
      <c r="AL60">
        <v>10</v>
      </c>
      <c r="AM60" s="17">
        <v>53</v>
      </c>
      <c r="AN60" s="17">
        <v>340</v>
      </c>
      <c r="AO60" s="17">
        <v>6.415094339622642</v>
      </c>
      <c r="AR60">
        <v>8</v>
      </c>
      <c r="AS60">
        <v>318</v>
      </c>
      <c r="AV60">
        <v>20</v>
      </c>
      <c r="AW60">
        <v>201</v>
      </c>
      <c r="BB60">
        <v>1</v>
      </c>
      <c r="BC60">
        <v>8</v>
      </c>
      <c r="BD60" s="17">
        <v>29</v>
      </c>
      <c r="BE60" s="17">
        <v>527</v>
      </c>
      <c r="BF60" s="17">
        <v>18.17241379310345</v>
      </c>
      <c r="BK60">
        <v>0</v>
      </c>
      <c r="BL60">
        <v>0</v>
      </c>
      <c r="BP60">
        <v>291</v>
      </c>
      <c r="BQ60">
        <v>4653</v>
      </c>
      <c r="BT60">
        <v>75</v>
      </c>
      <c r="BU60">
        <v>370</v>
      </c>
      <c r="CF60">
        <v>5</v>
      </c>
      <c r="CG60">
        <v>50</v>
      </c>
      <c r="CP60">
        <v>3</v>
      </c>
      <c r="CQ60">
        <v>20</v>
      </c>
      <c r="CR60">
        <v>374</v>
      </c>
      <c r="CS60">
        <v>5093</v>
      </c>
      <c r="CU60">
        <v>7</v>
      </c>
      <c r="CV60">
        <v>361</v>
      </c>
      <c r="DC60">
        <v>79</v>
      </c>
      <c r="DD60">
        <v>1459</v>
      </c>
      <c r="DG60">
        <v>86</v>
      </c>
      <c r="DH60">
        <v>1820</v>
      </c>
      <c r="DI60" s="17">
        <v>374</v>
      </c>
      <c r="DJ60" s="17">
        <v>5093</v>
      </c>
      <c r="DK60" s="17">
        <v>13.617647058823529</v>
      </c>
      <c r="DO60">
        <v>1</v>
      </c>
      <c r="DP60">
        <v>8</v>
      </c>
      <c r="DS60">
        <v>1</v>
      </c>
      <c r="DT60">
        <v>8</v>
      </c>
      <c r="DX60">
        <v>24</v>
      </c>
      <c r="DY60">
        <v>194</v>
      </c>
      <c r="DZ60">
        <v>4</v>
      </c>
      <c r="EA60">
        <v>32</v>
      </c>
      <c r="EB60">
        <v>28</v>
      </c>
      <c r="EC60">
        <v>226</v>
      </c>
      <c r="EK60">
        <v>0</v>
      </c>
      <c r="EL60">
        <v>0</v>
      </c>
      <c r="EV60">
        <v>0</v>
      </c>
      <c r="EW60">
        <v>0</v>
      </c>
      <c r="FE60">
        <v>63</v>
      </c>
      <c r="FF60">
        <v>468</v>
      </c>
      <c r="FM60">
        <v>63</v>
      </c>
      <c r="FN60">
        <v>468</v>
      </c>
      <c r="FO60" s="17">
        <v>92</v>
      </c>
      <c r="FP60" s="17">
        <v>702</v>
      </c>
      <c r="FQ60" s="17">
        <v>7.630434782608695</v>
      </c>
      <c r="FT60">
        <v>108</v>
      </c>
      <c r="FU60">
        <v>1003</v>
      </c>
      <c r="FX60">
        <v>27</v>
      </c>
      <c r="FY60">
        <v>198</v>
      </c>
      <c r="FZ60">
        <v>198</v>
      </c>
      <c r="GA60">
        <v>1239</v>
      </c>
      <c r="GB60">
        <v>30</v>
      </c>
      <c r="GC60">
        <v>238</v>
      </c>
      <c r="GD60">
        <v>8</v>
      </c>
      <c r="GE60">
        <v>59</v>
      </c>
      <c r="GF60">
        <v>1</v>
      </c>
      <c r="GG60">
        <v>8</v>
      </c>
    </row>
    <row r="61" spans="1:189" ht="15.75">
      <c r="A61" s="19" t="s">
        <v>337</v>
      </c>
      <c r="B61" t="s">
        <v>62</v>
      </c>
      <c r="C61">
        <v>1</v>
      </c>
      <c r="D61">
        <v>16</v>
      </c>
      <c r="E61">
        <v>6</v>
      </c>
      <c r="F61">
        <v>56</v>
      </c>
      <c r="I61">
        <v>24</v>
      </c>
      <c r="J61">
        <v>145</v>
      </c>
      <c r="K61" s="17">
        <v>31</v>
      </c>
      <c r="L61" s="17">
        <v>217</v>
      </c>
      <c r="M61" s="17">
        <v>7</v>
      </c>
      <c r="N61">
        <v>12</v>
      </c>
      <c r="O61">
        <v>71</v>
      </c>
      <c r="P61">
        <v>44</v>
      </c>
      <c r="Q61">
        <v>248</v>
      </c>
      <c r="R61">
        <v>15</v>
      </c>
      <c r="S61">
        <v>95</v>
      </c>
      <c r="T61">
        <v>3</v>
      </c>
      <c r="U61">
        <v>43</v>
      </c>
      <c r="V61">
        <v>9</v>
      </c>
      <c r="W61">
        <v>120</v>
      </c>
      <c r="X61">
        <v>6</v>
      </c>
      <c r="Y61">
        <v>61</v>
      </c>
      <c r="Z61">
        <v>5</v>
      </c>
      <c r="AA61">
        <v>42</v>
      </c>
      <c r="AB61" s="17">
        <v>94</v>
      </c>
      <c r="AC61" s="17">
        <v>680</v>
      </c>
      <c r="AD61" s="17">
        <v>7.23404255319149</v>
      </c>
      <c r="AE61">
        <v>1</v>
      </c>
      <c r="AF61">
        <v>11</v>
      </c>
      <c r="AG61">
        <v>189</v>
      </c>
      <c r="AH61">
        <v>707</v>
      </c>
      <c r="AI61">
        <v>1</v>
      </c>
      <c r="AJ61">
        <v>73</v>
      </c>
      <c r="AK61">
        <v>6</v>
      </c>
      <c r="AL61">
        <v>38</v>
      </c>
      <c r="AM61" s="17">
        <v>197</v>
      </c>
      <c r="AN61" s="17">
        <v>829</v>
      </c>
      <c r="AO61" s="17">
        <v>4.208121827411167</v>
      </c>
      <c r="AR61">
        <v>6</v>
      </c>
      <c r="AS61">
        <v>320</v>
      </c>
      <c r="AT61">
        <v>3</v>
      </c>
      <c r="AU61">
        <v>119</v>
      </c>
      <c r="AV61">
        <v>10</v>
      </c>
      <c r="AW61">
        <v>137</v>
      </c>
      <c r="BB61">
        <v>6</v>
      </c>
      <c r="BC61">
        <v>42</v>
      </c>
      <c r="BD61" s="17">
        <v>25</v>
      </c>
      <c r="BE61" s="17">
        <v>618</v>
      </c>
      <c r="BF61" s="17">
        <v>24.72</v>
      </c>
      <c r="BG61">
        <v>2</v>
      </c>
      <c r="BH61">
        <v>30</v>
      </c>
      <c r="BI61">
        <v>20</v>
      </c>
      <c r="BJ61">
        <v>89</v>
      </c>
      <c r="BK61">
        <v>22</v>
      </c>
      <c r="BL61">
        <v>119</v>
      </c>
      <c r="BP61">
        <v>157</v>
      </c>
      <c r="BQ61">
        <v>2116</v>
      </c>
      <c r="BT61">
        <v>10</v>
      </c>
      <c r="BU61">
        <v>199</v>
      </c>
      <c r="CF61">
        <v>4</v>
      </c>
      <c r="CG61">
        <v>111</v>
      </c>
      <c r="CR61">
        <v>171</v>
      </c>
      <c r="CS61">
        <v>2426</v>
      </c>
      <c r="CU61">
        <v>2</v>
      </c>
      <c r="CV61">
        <v>236</v>
      </c>
      <c r="DC61">
        <v>34</v>
      </c>
      <c r="DD61">
        <v>622</v>
      </c>
      <c r="DG61">
        <v>36</v>
      </c>
      <c r="DH61">
        <v>858</v>
      </c>
      <c r="DI61" s="17">
        <v>193</v>
      </c>
      <c r="DJ61" s="17">
        <v>2545</v>
      </c>
      <c r="DK61" s="17">
        <v>13.186528497409327</v>
      </c>
      <c r="DO61">
        <v>1</v>
      </c>
      <c r="DP61">
        <v>12</v>
      </c>
      <c r="DS61">
        <v>1</v>
      </c>
      <c r="DT61">
        <v>12</v>
      </c>
      <c r="DX61">
        <v>8</v>
      </c>
      <c r="DY61">
        <v>40</v>
      </c>
      <c r="DZ61">
        <v>7</v>
      </c>
      <c r="EA61">
        <v>40</v>
      </c>
      <c r="EB61">
        <v>15</v>
      </c>
      <c r="EC61">
        <v>80</v>
      </c>
      <c r="EE61">
        <v>1</v>
      </c>
      <c r="EF61">
        <v>9</v>
      </c>
      <c r="EI61">
        <v>4</v>
      </c>
      <c r="EJ61">
        <v>31</v>
      </c>
      <c r="EK61">
        <v>5</v>
      </c>
      <c r="EL61">
        <v>40</v>
      </c>
      <c r="ER61">
        <v>10</v>
      </c>
      <c r="ES61">
        <v>52</v>
      </c>
      <c r="ET61">
        <v>4</v>
      </c>
      <c r="EU61">
        <v>47</v>
      </c>
      <c r="EV61">
        <v>14</v>
      </c>
      <c r="EW61">
        <v>99</v>
      </c>
      <c r="FE61">
        <v>73</v>
      </c>
      <c r="FF61">
        <v>484</v>
      </c>
      <c r="FI61">
        <v>11</v>
      </c>
      <c r="FJ61">
        <v>44</v>
      </c>
      <c r="FK61">
        <v>8</v>
      </c>
      <c r="FL61">
        <v>55</v>
      </c>
      <c r="FM61">
        <v>92</v>
      </c>
      <c r="FN61">
        <v>583</v>
      </c>
      <c r="FO61" s="17">
        <v>127</v>
      </c>
      <c r="FP61" s="17">
        <v>814</v>
      </c>
      <c r="FQ61" s="17">
        <v>6.409448818897638</v>
      </c>
      <c r="FT61">
        <v>87</v>
      </c>
      <c r="FU61">
        <v>497</v>
      </c>
      <c r="FX61">
        <v>71</v>
      </c>
      <c r="FY61">
        <v>402</v>
      </c>
      <c r="FZ61">
        <v>294</v>
      </c>
      <c r="GA61">
        <v>1453</v>
      </c>
      <c r="GB61">
        <v>18</v>
      </c>
      <c r="GC61">
        <v>113</v>
      </c>
      <c r="GD61">
        <v>5</v>
      </c>
      <c r="GE61">
        <v>39</v>
      </c>
      <c r="GF61">
        <v>7</v>
      </c>
      <c r="GG61">
        <v>47</v>
      </c>
    </row>
    <row r="62" spans="1:189" ht="16.5" thickBot="1">
      <c r="A62" s="20" t="s">
        <v>338</v>
      </c>
      <c r="B62" t="s">
        <v>63</v>
      </c>
      <c r="E62">
        <v>5</v>
      </c>
      <c r="F62">
        <v>60</v>
      </c>
      <c r="I62">
        <v>25</v>
      </c>
      <c r="J62">
        <v>225</v>
      </c>
      <c r="K62" s="17">
        <v>30</v>
      </c>
      <c r="L62" s="17">
        <v>285</v>
      </c>
      <c r="M62" s="17">
        <v>9.5</v>
      </c>
      <c r="N62">
        <v>8</v>
      </c>
      <c r="O62">
        <v>72</v>
      </c>
      <c r="P62">
        <v>40</v>
      </c>
      <c r="Q62">
        <v>480</v>
      </c>
      <c r="R62">
        <v>25</v>
      </c>
      <c r="S62">
        <v>275</v>
      </c>
      <c r="T62">
        <v>6</v>
      </c>
      <c r="U62">
        <v>120</v>
      </c>
      <c r="V62">
        <v>4</v>
      </c>
      <c r="W62">
        <v>80</v>
      </c>
      <c r="X62">
        <v>3</v>
      </c>
      <c r="Y62">
        <v>21</v>
      </c>
      <c r="Z62">
        <v>10</v>
      </c>
      <c r="AA62">
        <v>120</v>
      </c>
      <c r="AB62" s="17">
        <v>96</v>
      </c>
      <c r="AC62" s="17">
        <v>1168</v>
      </c>
      <c r="AD62" s="17">
        <v>12.166666666666666</v>
      </c>
      <c r="AE62">
        <v>7</v>
      </c>
      <c r="AF62">
        <v>90</v>
      </c>
      <c r="AG62">
        <v>25</v>
      </c>
      <c r="AH62">
        <v>172</v>
      </c>
      <c r="AK62">
        <v>300</v>
      </c>
      <c r="AL62">
        <v>472</v>
      </c>
      <c r="AM62" s="17">
        <v>332</v>
      </c>
      <c r="AN62" s="17">
        <v>734</v>
      </c>
      <c r="AO62" s="17">
        <v>2.210843373493976</v>
      </c>
      <c r="AR62">
        <v>8</v>
      </c>
      <c r="AS62">
        <v>270</v>
      </c>
      <c r="AT62">
        <v>1</v>
      </c>
      <c r="AU62">
        <v>11</v>
      </c>
      <c r="AV62">
        <v>8</v>
      </c>
      <c r="AW62">
        <v>96</v>
      </c>
      <c r="BD62" s="17">
        <v>17</v>
      </c>
      <c r="BE62" s="17">
        <v>377</v>
      </c>
      <c r="BF62" s="17">
        <v>22.176470588235293</v>
      </c>
      <c r="BI62">
        <v>20</v>
      </c>
      <c r="BJ62">
        <v>140</v>
      </c>
      <c r="BK62">
        <v>20</v>
      </c>
      <c r="BL62">
        <v>140</v>
      </c>
      <c r="BP62">
        <v>420</v>
      </c>
      <c r="BQ62">
        <v>2940</v>
      </c>
      <c r="BT62">
        <v>29</v>
      </c>
      <c r="BU62">
        <v>516</v>
      </c>
      <c r="CF62">
        <v>2</v>
      </c>
      <c r="CG62">
        <v>40</v>
      </c>
      <c r="CP62">
        <v>30</v>
      </c>
      <c r="CQ62">
        <v>420</v>
      </c>
      <c r="CR62">
        <v>481</v>
      </c>
      <c r="CS62">
        <v>3916</v>
      </c>
      <c r="CU62">
        <v>4</v>
      </c>
      <c r="CV62">
        <v>108</v>
      </c>
      <c r="DC62">
        <v>15</v>
      </c>
      <c r="DD62">
        <v>1500</v>
      </c>
      <c r="DG62">
        <v>19</v>
      </c>
      <c r="DH62">
        <v>1608</v>
      </c>
      <c r="DI62" s="17">
        <v>501</v>
      </c>
      <c r="DJ62" s="17">
        <v>4056</v>
      </c>
      <c r="DK62" s="17">
        <v>8.095808383233534</v>
      </c>
      <c r="DS62">
        <v>0</v>
      </c>
      <c r="DT62">
        <v>0</v>
      </c>
      <c r="DV62">
        <v>12</v>
      </c>
      <c r="DW62">
        <v>132</v>
      </c>
      <c r="DX62">
        <v>4</v>
      </c>
      <c r="DY62">
        <v>40</v>
      </c>
      <c r="EB62">
        <v>16</v>
      </c>
      <c r="EC62">
        <v>172</v>
      </c>
      <c r="EG62">
        <v>40</v>
      </c>
      <c r="EH62">
        <v>360</v>
      </c>
      <c r="EK62">
        <v>40</v>
      </c>
      <c r="EL62">
        <v>360</v>
      </c>
      <c r="EV62">
        <v>0</v>
      </c>
      <c r="EW62">
        <v>0</v>
      </c>
      <c r="EY62">
        <v>6</v>
      </c>
      <c r="EZ62">
        <v>18</v>
      </c>
      <c r="FE62">
        <v>52</v>
      </c>
      <c r="FF62">
        <v>781</v>
      </c>
      <c r="FK62">
        <v>2</v>
      </c>
      <c r="FL62">
        <v>16</v>
      </c>
      <c r="FM62">
        <v>60</v>
      </c>
      <c r="FN62">
        <v>815</v>
      </c>
      <c r="FO62" s="17">
        <v>116</v>
      </c>
      <c r="FP62" s="17">
        <v>1347</v>
      </c>
      <c r="FQ62" s="17">
        <v>11.612068965517242</v>
      </c>
      <c r="FT62">
        <v>40</v>
      </c>
      <c r="FU62">
        <v>420</v>
      </c>
      <c r="FV62">
        <v>50</v>
      </c>
      <c r="FW62">
        <v>450</v>
      </c>
      <c r="FX62">
        <v>120</v>
      </c>
      <c r="FY62">
        <v>1200</v>
      </c>
      <c r="FZ62">
        <v>320</v>
      </c>
      <c r="GA62">
        <v>3200</v>
      </c>
      <c r="GB62">
        <v>40</v>
      </c>
      <c r="GC62">
        <v>360</v>
      </c>
      <c r="GD62">
        <v>42</v>
      </c>
      <c r="GE62">
        <v>378</v>
      </c>
      <c r="GF62">
        <v>4</v>
      </c>
      <c r="GG62">
        <v>32</v>
      </c>
    </row>
    <row r="63" ht="15.75">
      <c r="A63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2005-08-01T15:27:15Z</dcterms:created>
  <dcterms:modified xsi:type="dcterms:W3CDTF">2017-09-03T13:21:20Z</dcterms:modified>
  <cp:category/>
  <cp:version/>
  <cp:contentType/>
  <cp:contentStatus/>
</cp:coreProperties>
</file>