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<sst xmlns="http://schemas.openxmlformats.org/spreadsheetml/2006/main" count="145" uniqueCount="72">
  <si>
    <t>vámmázsa</t>
  </si>
  <si>
    <t>ár</t>
  </si>
  <si>
    <t>érték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</si>
  <si>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</si>
  <si>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</si>
  <si>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</si>
  <si>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</si>
  <si>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</si>
  <si>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</si>
  <si>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</si>
  <si>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</si>
  <si>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</si>
  <si>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</si>
  <si>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</si>
  <si>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</si>
  <si>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</si>
  <si>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</si>
  <si>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Velence</t>
  </si>
  <si>
    <t>Magyarország</t>
  </si>
  <si>
    <t>Horvátország</t>
  </si>
  <si>
    <t>Erdély</t>
  </si>
  <si>
    <t>Határőrvidék</t>
  </si>
  <si>
    <t>Monarchia</t>
  </si>
  <si>
    <t>kontroll</t>
  </si>
  <si>
    <t>Velence nélkül</t>
  </si>
  <si>
    <t>Fillunger</t>
  </si>
  <si>
    <t>Lenmag</t>
  </si>
  <si>
    <t>Kendermag</t>
  </si>
  <si>
    <t>Olivaolaj</t>
  </si>
  <si>
    <t>Repcemag</t>
  </si>
  <si>
    <t>Dohány</t>
  </si>
  <si>
    <t>Komló</t>
  </si>
  <si>
    <t>Mák, Ánizs</t>
  </si>
  <si>
    <t>Kereskedelmi növények</t>
  </si>
  <si>
    <t>Szalma</t>
  </si>
  <si>
    <t>Rét, széna</t>
  </si>
  <si>
    <t>Lóhere, szálas takarmány</t>
  </si>
  <si>
    <t>Zöldség</t>
  </si>
  <si>
    <t>Gyümölcs</t>
  </si>
  <si>
    <t>Bor</t>
  </si>
  <si>
    <t>Épületfa</t>
  </si>
  <si>
    <t>Fatuskó, rőzse</t>
  </si>
  <si>
    <t>Erdei mellékhaszonvételek</t>
  </si>
  <si>
    <t>Tüzifa</t>
  </si>
  <si>
    <t>Tej</t>
  </si>
  <si>
    <t>Növendékállat</t>
  </si>
  <si>
    <t>Hús és zsír</t>
  </si>
  <si>
    <t>Bőrök</t>
  </si>
  <si>
    <t>Prém, szőr</t>
  </si>
  <si>
    <t>Selyemgubó</t>
  </si>
  <si>
    <t>Gyapjú</t>
  </si>
  <si>
    <t>Összeg</t>
  </si>
  <si>
    <t>darab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</si>
  <si>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</si>
  <si>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</si>
  <si>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</si>
  <si>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</si>
  <si>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</si>
  <si>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</si>
  <si>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</si>
  <si>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</si>
  <si>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</si>
  <si>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</si>
  <si>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</si>
  <si>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</si>
  <si>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C14</t>
  </si>
  <si>
    <t>C15</t>
  </si>
  <si>
    <t>C17</t>
  </si>
  <si>
    <t>M0</t>
  </si>
  <si>
    <t>M8</t>
  </si>
  <si>
    <t>M7</t>
  </si>
  <si>
    <t>M9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</si>
</sst>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</numFmts>
  <fonts count="42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2" fontId="4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2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4" fontId="2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2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4" sqref="B24"/>
    </sheetView>
  </sheetViews>
  <sheetFormatPr defaultColWidth="9.00390625" defaultRowHeight="15.75"/>
  <cols>
    <col min="1" max="1" width="9.00390625" style="29" customWidth="1"/>
    <col min="2" max="2" width="16.00390625" style="0" customWidth="1"/>
    <col min="3" max="3" width="10.125" style="0" customWidth="1"/>
    <col min="4" max="4" width="9.375" style="0" customWidth="1"/>
    <col min="5" max="5" width="13.25390625" style="0" customWidth="1"/>
    <col min="6" max="6" width="10.00390625" style="21" bestFit="1" customWidth="1"/>
    <col min="7" max="7" width="9.25390625" style="0" bestFit="1" customWidth="1"/>
    <col min="8" max="8" width="12.375" style="21" bestFit="1" customWidth="1"/>
    <col min="9" max="9" width="10.00390625" style="21" bestFit="1" customWidth="1"/>
    <col min="10" max="10" width="11.50390625" style="0" bestFit="1" customWidth="1"/>
    <col min="11" max="11" width="11.50390625" style="21" bestFit="1" customWidth="1"/>
    <col min="12" max="12" width="9.00390625" style="21" customWidth="1"/>
    <col min="14" max="14" width="9.875" style="21" bestFit="1" customWidth="1"/>
    <col min="15" max="15" width="11.50390625" style="21" customWidth="1"/>
    <col min="17" max="17" width="11.375" style="21" bestFit="1" customWidth="1"/>
    <col min="18" max="18" width="9.00390625" style="21" customWidth="1"/>
    <col min="20" max="20" width="9.875" style="21" bestFit="1" customWidth="1"/>
    <col min="21" max="21" width="9.00390625" style="21" customWidth="1"/>
    <col min="23" max="24" width="9.00390625" style="21" customWidth="1"/>
    <col min="26" max="26" width="11.375" style="21" bestFit="1" customWidth="1"/>
    <col min="27" max="27" width="10.875" style="21" bestFit="1" customWidth="1"/>
    <col min="29" max="29" width="11.625" style="21" customWidth="1"/>
    <col min="30" max="30" width="10.875" style="21" bestFit="1" customWidth="1"/>
    <col min="32" max="32" width="13.25390625" style="21" customWidth="1"/>
    <col min="33" max="33" width="9.875" style="21" bestFit="1" customWidth="1"/>
    <col min="35" max="35" width="10.625" style="21" customWidth="1"/>
    <col min="36" max="36" width="9.00390625" style="21" customWidth="1"/>
    <col min="38" max="38" width="12.375" style="21" bestFit="1" customWidth="1"/>
    <col min="39" max="39" width="9.875" style="21" bestFit="1" customWidth="1"/>
    <col min="41" max="42" width="9.875" style="21" bestFit="1" customWidth="1"/>
    <col min="44" max="44" width="13.50390625" style="21" bestFit="1" customWidth="1"/>
    <col min="45" max="45" width="11.75390625" style="21" customWidth="1"/>
    <col min="47" max="47" width="9.875" style="21" bestFit="1" customWidth="1"/>
    <col min="48" max="48" width="12.375" style="21" bestFit="1" customWidth="1"/>
    <col min="50" max="50" width="9.875" style="21" bestFit="1" customWidth="1"/>
    <col min="51" max="51" width="12.375" style="21" bestFit="1" customWidth="1"/>
    <col min="52" max="53" width="9.00390625" style="21" customWidth="1"/>
    <col min="56" max="56" width="9.875" style="21" bestFit="1" customWidth="1"/>
    <col min="57" max="57" width="10.875" style="21" bestFit="1" customWidth="1"/>
    <col min="59" max="59" width="13.50390625" style="21" bestFit="1" customWidth="1"/>
    <col min="60" max="60" width="9.875" style="21" bestFit="1" customWidth="1"/>
    <col min="62" max="62" width="10.875" style="21" bestFit="1" customWidth="1"/>
    <col min="63" max="63" width="9.875" style="21" bestFit="1" customWidth="1"/>
    <col min="65" max="65" width="10.875" style="21" bestFit="1" customWidth="1"/>
    <col min="66" max="66" width="9.00390625" style="21" customWidth="1"/>
    <col min="68" max="68" width="11.00390625" style="21" customWidth="1"/>
    <col min="69" max="69" width="9.00390625" style="21" customWidth="1"/>
    <col min="71" max="71" width="9.875" style="21" bestFit="1" customWidth="1"/>
    <col min="72" max="72" width="9.00390625" style="21" customWidth="1"/>
    <col min="74" max="74" width="9.875" style="21" bestFit="1" customWidth="1"/>
    <col min="75" max="75" width="9.00390625" style="21" customWidth="1"/>
    <col min="77" max="77" width="9.875" style="21" bestFit="1" customWidth="1"/>
    <col min="78" max="78" width="12.375" style="21" bestFit="1" customWidth="1"/>
    <col min="79" max="79" width="12.375" style="0" bestFit="1" customWidth="1"/>
  </cols>
  <sheetData>
    <row r="1" spans="2:5" ht="15.75">
      <c r="B1" s="1" t="s">
        <v>25</v>
      </c>
      <c r="C1" s="1"/>
      <c r="D1" s="2"/>
      <c r="E1" s="1"/>
    </row>
    <row r="2" spans="2:78" ht="15.75">
      <c r="B2" s="3"/>
      <c r="C2" s="4" t="s">
        <v>26</v>
      </c>
      <c r="D2" s="5"/>
      <c r="E2" s="4"/>
      <c r="F2" s="22" t="s">
        <v>27</v>
      </c>
      <c r="I2" s="22" t="s">
        <v>28</v>
      </c>
      <c r="L2" s="22" t="s">
        <v>29</v>
      </c>
      <c r="O2" s="22" t="s">
        <v>30</v>
      </c>
      <c r="R2" s="22" t="s">
        <v>31</v>
      </c>
      <c r="U2" s="22" t="s">
        <v>32</v>
      </c>
      <c r="X2" s="22" t="s">
        <v>33</v>
      </c>
      <c r="AA2" s="22" t="s">
        <v>34</v>
      </c>
      <c r="AD2" s="22" t="s">
        <v>35</v>
      </c>
      <c r="AG2" s="22" t="s">
        <v>36</v>
      </c>
      <c r="AJ2" s="22" t="s">
        <v>37</v>
      </c>
      <c r="AM2" s="22" t="s">
        <v>38</v>
      </c>
      <c r="AP2" s="22" t="s">
        <v>39</v>
      </c>
      <c r="AS2" s="22" t="s">
        <v>40</v>
      </c>
      <c r="AV2" s="22" t="s">
        <v>43</v>
      </c>
      <c r="AY2" s="22" t="s">
        <v>41</v>
      </c>
      <c r="BB2" s="13" t="s">
        <v>42</v>
      </c>
      <c r="BE2" s="22" t="s">
        <v>44</v>
      </c>
      <c r="BH2" s="22" t="s">
        <v>45</v>
      </c>
      <c r="BK2" s="22" t="s">
        <v>46</v>
      </c>
      <c r="BN2" s="22" t="s">
        <v>47</v>
      </c>
      <c r="BQ2" s="22" t="s">
        <v>48</v>
      </c>
      <c r="BT2" s="22" t="s">
        <v>49</v>
      </c>
      <c r="BW2" s="22" t="s">
        <v>50</v>
      </c>
      <c r="BZ2" s="22" t="s">
        <v>51</v>
      </c>
    </row>
    <row r="3" spans="2:79" ht="15.75">
      <c r="B3" s="6"/>
      <c r="C3" s="7" t="s">
        <v>0</v>
      </c>
      <c r="D3" s="8" t="s">
        <v>1</v>
      </c>
      <c r="E3" s="7" t="s">
        <v>2</v>
      </c>
      <c r="F3" s="7" t="s">
        <v>0</v>
      </c>
      <c r="G3" s="8" t="s">
        <v>1</v>
      </c>
      <c r="H3" s="7" t="s">
        <v>2</v>
      </c>
      <c r="I3" s="7" t="s">
        <v>0</v>
      </c>
      <c r="J3" s="8" t="s">
        <v>1</v>
      </c>
      <c r="K3" s="7" t="s">
        <v>2</v>
      </c>
      <c r="L3" s="7" t="s">
        <v>0</v>
      </c>
      <c r="M3" s="8" t="s">
        <v>1</v>
      </c>
      <c r="N3" s="7" t="s">
        <v>2</v>
      </c>
      <c r="O3" s="7" t="s">
        <v>0</v>
      </c>
      <c r="P3" s="8" t="s">
        <v>1</v>
      </c>
      <c r="Q3" s="7" t="s">
        <v>2</v>
      </c>
      <c r="R3" s="7" t="s">
        <v>0</v>
      </c>
      <c r="S3" s="8" t="s">
        <v>1</v>
      </c>
      <c r="T3" s="7" t="s">
        <v>2</v>
      </c>
      <c r="U3" s="7" t="s">
        <v>0</v>
      </c>
      <c r="V3" s="8" t="s">
        <v>1</v>
      </c>
      <c r="W3" s="7" t="s">
        <v>2</v>
      </c>
      <c r="X3" s="7" t="s">
        <v>0</v>
      </c>
      <c r="Y3" s="8" t="s">
        <v>1</v>
      </c>
      <c r="Z3" s="7" t="s">
        <v>2</v>
      </c>
      <c r="AA3" s="7" t="s">
        <v>0</v>
      </c>
      <c r="AB3" s="8" t="s">
        <v>1</v>
      </c>
      <c r="AC3" s="7" t="s">
        <v>2</v>
      </c>
      <c r="AD3" s="7" t="s">
        <v>0</v>
      </c>
      <c r="AE3" s="8" t="s">
        <v>1</v>
      </c>
      <c r="AF3" s="7" t="s">
        <v>2</v>
      </c>
      <c r="AG3" s="7" t="s">
        <v>0</v>
      </c>
      <c r="AH3" s="8" t="s">
        <v>1</v>
      </c>
      <c r="AI3" s="7" t="s">
        <v>2</v>
      </c>
      <c r="AJ3" s="7" t="s">
        <v>0</v>
      </c>
      <c r="AK3" s="8" t="s">
        <v>1</v>
      </c>
      <c r="AL3" s="7" t="s">
        <v>2</v>
      </c>
      <c r="AM3" s="7" t="s">
        <v>0</v>
      </c>
      <c r="AN3" s="8" t="s">
        <v>1</v>
      </c>
      <c r="AO3" s="7" t="s">
        <v>2</v>
      </c>
      <c r="AP3" s="7" t="s">
        <v>0</v>
      </c>
      <c r="AQ3" s="8" t="s">
        <v>1</v>
      </c>
      <c r="AR3" s="7" t="s">
        <v>2</v>
      </c>
      <c r="AS3" s="7" t="s">
        <v>0</v>
      </c>
      <c r="AT3" s="8" t="s">
        <v>1</v>
      </c>
      <c r="AU3" s="7" t="s">
        <v>2</v>
      </c>
      <c r="AV3" s="7" t="s">
        <v>0</v>
      </c>
      <c r="AW3" s="8" t="s">
        <v>1</v>
      </c>
      <c r="AX3" s="7" t="s">
        <v>2</v>
      </c>
      <c r="AY3" s="7" t="s">
        <v>0</v>
      </c>
      <c r="AZ3" s="7" t="s">
        <v>1</v>
      </c>
      <c r="BA3" s="7" t="s">
        <v>2</v>
      </c>
      <c r="BB3" s="7" t="s">
        <v>0</v>
      </c>
      <c r="BC3" s="8" t="s">
        <v>1</v>
      </c>
      <c r="BD3" s="7" t="s">
        <v>2</v>
      </c>
      <c r="BE3" s="7" t="s">
        <v>0</v>
      </c>
      <c r="BF3" s="8" t="s">
        <v>1</v>
      </c>
      <c r="BG3" s="7" t="s">
        <v>2</v>
      </c>
      <c r="BH3" s="7" t="s">
        <v>0</v>
      </c>
      <c r="BI3" s="8" t="s">
        <v>1</v>
      </c>
      <c r="BJ3" s="7" t="s">
        <v>2</v>
      </c>
      <c r="BK3" s="7" t="s">
        <v>0</v>
      </c>
      <c r="BL3" s="8" t="s">
        <v>1</v>
      </c>
      <c r="BM3" s="7" t="s">
        <v>2</v>
      </c>
      <c r="BN3" s="7" t="s">
        <v>0</v>
      </c>
      <c r="BO3" s="8" t="s">
        <v>1</v>
      </c>
      <c r="BP3" s="7" t="s">
        <v>2</v>
      </c>
      <c r="BQ3" s="7" t="s">
        <v>52</v>
      </c>
      <c r="BR3" s="8" t="s">
        <v>1</v>
      </c>
      <c r="BS3" s="7" t="s">
        <v>2</v>
      </c>
      <c r="BT3" s="7" t="s">
        <v>0</v>
      </c>
      <c r="BU3" s="8" t="s">
        <v>1</v>
      </c>
      <c r="BV3" s="7" t="s">
        <v>2</v>
      </c>
      <c r="BW3" s="7" t="s">
        <v>0</v>
      </c>
      <c r="BX3" s="8" t="s">
        <v>1</v>
      </c>
      <c r="BY3" s="7" t="s">
        <v>2</v>
      </c>
      <c r="BZ3" s="7" t="s">
        <v>2</v>
      </c>
      <c r="CA3" s="8"/>
    </row>
    <row r="4" spans="2:5" ht="15.75">
      <c r="B4" s="1"/>
      <c r="C4" s="9"/>
      <c r="D4" s="2"/>
      <c r="E4" s="9"/>
    </row>
    <row r="5" spans="1:80" ht="15.75">
      <c r="A5" s="33" t="s">
        <v>53</v>
      </c>
      <c r="B5" s="10" t="s">
        <v>3</v>
      </c>
      <c r="C5" s="11">
        <v>16638</v>
      </c>
      <c r="D5" s="12">
        <v>14</v>
      </c>
      <c r="E5" s="11">
        <v>232932</v>
      </c>
      <c r="F5" s="21">
        <v>6349</v>
      </c>
      <c r="G5" s="14">
        <v>15.2</v>
      </c>
      <c r="H5" s="21">
        <v>96505</v>
      </c>
      <c r="J5" s="14"/>
      <c r="M5" s="14"/>
      <c r="P5" s="14"/>
      <c r="S5" s="14">
        <v>100</v>
      </c>
      <c r="U5" s="21">
        <v>1680</v>
      </c>
      <c r="V5" s="14">
        <v>10</v>
      </c>
      <c r="W5" s="21">
        <v>16800</v>
      </c>
      <c r="Y5" s="14"/>
      <c r="Z5" s="21">
        <v>210000</v>
      </c>
      <c r="AA5" s="21">
        <v>24980280</v>
      </c>
      <c r="AB5" s="14">
        <v>0.2</v>
      </c>
      <c r="AC5" s="21">
        <f aca="true" t="shared" si="0" ref="AC5:AC18">+AA5*AB5</f>
        <v>4996056</v>
      </c>
      <c r="AD5" s="21">
        <v>10283537</v>
      </c>
      <c r="AE5" s="14">
        <v>1.2</v>
      </c>
      <c r="AF5" s="21">
        <v>12340244</v>
      </c>
      <c r="AG5" s="21">
        <v>3022551</v>
      </c>
      <c r="AH5" s="14">
        <v>1.5</v>
      </c>
      <c r="AI5" s="21">
        <v>4533827</v>
      </c>
      <c r="AJ5" s="21">
        <v>441650</v>
      </c>
      <c r="AK5" s="14">
        <v>3.3</v>
      </c>
      <c r="AL5" s="21">
        <v>1457445</v>
      </c>
      <c r="AM5" s="21">
        <v>883300</v>
      </c>
      <c r="AN5" s="14">
        <v>2</v>
      </c>
      <c r="AO5" s="21">
        <v>1766600</v>
      </c>
      <c r="AP5" s="21">
        <v>2011333</v>
      </c>
      <c r="AQ5" s="14">
        <v>6.9</v>
      </c>
      <c r="AR5" s="21">
        <v>13878198</v>
      </c>
      <c r="AS5" s="21">
        <v>21975134</v>
      </c>
      <c r="AT5" s="14">
        <v>0.1</v>
      </c>
      <c r="AU5" s="21">
        <v>2197513</v>
      </c>
      <c r="AV5" s="21">
        <v>72864918</v>
      </c>
      <c r="AW5" s="14">
        <v>0.03</v>
      </c>
      <c r="AX5" s="21">
        <v>2185948</v>
      </c>
      <c r="AY5" s="21">
        <v>20818548</v>
      </c>
      <c r="AZ5" s="14">
        <v>0.01</v>
      </c>
      <c r="BA5" s="21">
        <v>208185</v>
      </c>
      <c r="BB5" s="14"/>
      <c r="BC5" s="14"/>
      <c r="BD5" s="21">
        <v>577600</v>
      </c>
      <c r="BE5" s="21">
        <v>6318120</v>
      </c>
      <c r="BF5" s="14">
        <v>1.6</v>
      </c>
      <c r="BG5" s="21">
        <v>10108992</v>
      </c>
      <c r="BH5" s="21">
        <v>410508</v>
      </c>
      <c r="BI5" s="14">
        <v>20</v>
      </c>
      <c r="BJ5" s="21">
        <v>8210160</v>
      </c>
      <c r="BK5" s="21">
        <v>390815</v>
      </c>
      <c r="BL5" s="14">
        <v>20</v>
      </c>
      <c r="BM5" s="21">
        <v>7816300</v>
      </c>
      <c r="BN5" s="21">
        <v>111744</v>
      </c>
      <c r="BO5" s="14">
        <v>10</v>
      </c>
      <c r="BP5" s="21">
        <f>+BN5*10</f>
        <v>1117440</v>
      </c>
      <c r="BQ5" s="21">
        <v>141041</v>
      </c>
      <c r="BR5" s="14">
        <v>1.5</v>
      </c>
      <c r="BS5" s="21">
        <v>211561</v>
      </c>
      <c r="BU5" s="14"/>
      <c r="BW5" s="21">
        <v>10567</v>
      </c>
      <c r="BX5" s="14">
        <v>120</v>
      </c>
      <c r="BY5" s="21">
        <v>1268040</v>
      </c>
      <c r="BZ5" s="21">
        <v>113170832</v>
      </c>
      <c r="CA5" s="14">
        <f>+E5+H5+K5+N5+Q5+T5+W5+Z5+AC5+AF5+AI5+AL5+AO5+AR5+AU5+AX5+BA5+BD5+BG5+BJ5+BM5+BP5+BS5+BV5+BY5</f>
        <v>73430346</v>
      </c>
      <c r="CB5" s="14"/>
    </row>
    <row r="6" spans="1:80" ht="15.75">
      <c r="A6" s="33" t="s">
        <v>54</v>
      </c>
      <c r="B6" s="10" t="s">
        <v>4</v>
      </c>
      <c r="C6" s="11">
        <v>67386</v>
      </c>
      <c r="D6" s="12">
        <v>14.2</v>
      </c>
      <c r="E6" s="11">
        <v>956881</v>
      </c>
      <c r="F6" s="21">
        <v>8291</v>
      </c>
      <c r="G6" s="14">
        <v>15.3</v>
      </c>
      <c r="H6" s="21">
        <v>126852</v>
      </c>
      <c r="J6" s="14"/>
      <c r="M6" s="14"/>
      <c r="P6" s="14"/>
      <c r="R6" s="21">
        <v>1000</v>
      </c>
      <c r="S6" s="14"/>
      <c r="T6" s="21">
        <v>100000</v>
      </c>
      <c r="V6" s="14"/>
      <c r="Y6" s="14"/>
      <c r="Z6" s="21">
        <v>21000</v>
      </c>
      <c r="AA6" s="21">
        <v>13326549</v>
      </c>
      <c r="AB6" s="14">
        <v>0.2</v>
      </c>
      <c r="AC6" s="21">
        <f t="shared" si="0"/>
        <v>2665309.8000000003</v>
      </c>
      <c r="AD6" s="21">
        <v>8165005</v>
      </c>
      <c r="AE6" s="14">
        <v>1.08</v>
      </c>
      <c r="AF6" s="21">
        <v>8818205</v>
      </c>
      <c r="AG6" s="21">
        <v>4604042</v>
      </c>
      <c r="AH6" s="14">
        <v>1.35</v>
      </c>
      <c r="AI6" s="21">
        <v>6215457</v>
      </c>
      <c r="AJ6" s="21">
        <v>371920</v>
      </c>
      <c r="AK6" s="14">
        <v>3.15</v>
      </c>
      <c r="AL6" s="21">
        <v>1171548</v>
      </c>
      <c r="AM6" s="21">
        <v>743838</v>
      </c>
      <c r="AN6" s="14">
        <v>1.75</v>
      </c>
      <c r="AO6" s="21">
        <v>1301717</v>
      </c>
      <c r="AQ6" s="14"/>
      <c r="AS6" s="21">
        <v>13369901</v>
      </c>
      <c r="AT6" s="14"/>
      <c r="AU6" s="21">
        <v>1336990</v>
      </c>
      <c r="AV6" s="21">
        <v>44331777</v>
      </c>
      <c r="AW6" s="14"/>
      <c r="AX6" s="21">
        <v>1329953</v>
      </c>
      <c r="AY6" s="21">
        <v>12666222</v>
      </c>
      <c r="BA6" s="21">
        <v>126662</v>
      </c>
      <c r="BB6" s="14"/>
      <c r="BC6" s="14"/>
      <c r="BD6" s="21">
        <v>351360</v>
      </c>
      <c r="BE6" s="21">
        <v>5539170</v>
      </c>
      <c r="BF6" s="14"/>
      <c r="BG6" s="21">
        <v>8862672</v>
      </c>
      <c r="BH6" s="21">
        <v>243785</v>
      </c>
      <c r="BI6" s="14">
        <v>18</v>
      </c>
      <c r="BJ6" s="21">
        <v>4388130</v>
      </c>
      <c r="BK6" s="21">
        <v>342071</v>
      </c>
      <c r="BL6" s="14">
        <v>18</v>
      </c>
      <c r="BM6" s="21">
        <v>6157278</v>
      </c>
      <c r="BN6" s="21">
        <v>97827</v>
      </c>
      <c r="BO6" s="14"/>
      <c r="BP6" s="21">
        <f aca="true" t="shared" si="1" ref="BP6:BP31">+BN6*10</f>
        <v>978270</v>
      </c>
      <c r="BQ6" s="21">
        <v>96563</v>
      </c>
      <c r="BR6" s="14"/>
      <c r="BS6" s="21">
        <v>144845</v>
      </c>
      <c r="BU6" s="14"/>
      <c r="BW6" s="21">
        <v>4520</v>
      </c>
      <c r="BX6" s="14"/>
      <c r="BY6" s="21">
        <v>542400</v>
      </c>
      <c r="BZ6" s="21">
        <v>68797564</v>
      </c>
      <c r="CA6" s="14"/>
      <c r="CB6" s="14"/>
    </row>
    <row r="7" spans="1:80" ht="15.75">
      <c r="A7" s="33" t="s">
        <v>55</v>
      </c>
      <c r="B7" s="10" t="s">
        <v>5</v>
      </c>
      <c r="C7" s="11">
        <v>2668</v>
      </c>
      <c r="D7" s="12">
        <v>13.2</v>
      </c>
      <c r="E7" s="11">
        <v>35218</v>
      </c>
      <c r="F7" s="21">
        <v>3546</v>
      </c>
      <c r="G7" s="14">
        <v>14.5</v>
      </c>
      <c r="H7" s="21">
        <v>51417</v>
      </c>
      <c r="J7" s="14"/>
      <c r="M7" s="14"/>
      <c r="P7" s="14"/>
      <c r="S7" s="14"/>
      <c r="V7" s="14"/>
      <c r="Y7" s="14"/>
      <c r="AA7" s="21">
        <v>2737564</v>
      </c>
      <c r="AB7" s="14">
        <v>0.2</v>
      </c>
      <c r="AC7" s="21">
        <f t="shared" si="0"/>
        <v>547512.8</v>
      </c>
      <c r="AD7" s="21">
        <v>4345215</v>
      </c>
      <c r="AE7" s="14">
        <v>1.23</v>
      </c>
      <c r="AF7" s="21">
        <v>5344614</v>
      </c>
      <c r="AG7" s="21">
        <v>273334</v>
      </c>
      <c r="AH7" s="14">
        <v>1.52</v>
      </c>
      <c r="AI7" s="21">
        <v>415468</v>
      </c>
      <c r="AJ7" s="21">
        <v>55440</v>
      </c>
      <c r="AK7" s="14">
        <v>2.7</v>
      </c>
      <c r="AL7" s="21">
        <v>149688</v>
      </c>
      <c r="AM7" s="21">
        <v>124735</v>
      </c>
      <c r="AN7" s="14">
        <v>1</v>
      </c>
      <c r="AO7" s="21">
        <v>124735</v>
      </c>
      <c r="AQ7" s="14"/>
      <c r="AS7" s="21">
        <v>7128561</v>
      </c>
      <c r="AT7" s="14"/>
      <c r="AU7" s="21">
        <v>712856</v>
      </c>
      <c r="AV7" s="21">
        <v>24625938</v>
      </c>
      <c r="AW7" s="14"/>
      <c r="AX7" s="21">
        <v>738778</v>
      </c>
      <c r="AY7" s="21">
        <v>7128561</v>
      </c>
      <c r="BA7" s="21">
        <v>71286</v>
      </c>
      <c r="BB7" s="14"/>
      <c r="BC7" s="14"/>
      <c r="BD7" s="21">
        <v>323680</v>
      </c>
      <c r="BE7" s="21">
        <v>2166000</v>
      </c>
      <c r="BF7" s="14"/>
      <c r="BG7" s="21">
        <v>3465600</v>
      </c>
      <c r="BH7" s="21">
        <v>72780</v>
      </c>
      <c r="BI7" s="14">
        <v>18</v>
      </c>
      <c r="BJ7" s="21">
        <v>1310040</v>
      </c>
      <c r="BK7" s="21">
        <v>93571</v>
      </c>
      <c r="BL7" s="14">
        <v>18</v>
      </c>
      <c r="BM7" s="21">
        <v>1684278</v>
      </c>
      <c r="BN7" s="21">
        <v>28206</v>
      </c>
      <c r="BO7" s="14"/>
      <c r="BP7" s="21">
        <f t="shared" si="1"/>
        <v>282060</v>
      </c>
      <c r="BQ7" s="21">
        <v>91656</v>
      </c>
      <c r="BR7" s="14"/>
      <c r="BS7" s="21">
        <v>137484</v>
      </c>
      <c r="BU7" s="14"/>
      <c r="BW7" s="21">
        <v>3669</v>
      </c>
      <c r="BX7" s="14"/>
      <c r="BY7" s="21">
        <v>440280</v>
      </c>
      <c r="BZ7" s="21">
        <v>20950080</v>
      </c>
      <c r="CA7" s="14"/>
      <c r="CB7" s="14"/>
    </row>
    <row r="8" spans="1:80" ht="15.75">
      <c r="A8" s="33" t="s">
        <v>56</v>
      </c>
      <c r="B8" s="10" t="s">
        <v>6</v>
      </c>
      <c r="C8" s="11">
        <v>16330</v>
      </c>
      <c r="D8" s="12">
        <v>15</v>
      </c>
      <c r="E8" s="11">
        <v>244950</v>
      </c>
      <c r="F8" s="21">
        <v>26244</v>
      </c>
      <c r="G8" s="14">
        <v>14.8</v>
      </c>
      <c r="H8" s="21">
        <v>388411</v>
      </c>
      <c r="J8" s="14"/>
      <c r="M8" s="14"/>
      <c r="P8" s="14"/>
      <c r="S8" s="14"/>
      <c r="U8" s="21">
        <v>803</v>
      </c>
      <c r="V8" s="14"/>
      <c r="W8" s="21">
        <v>8030</v>
      </c>
      <c r="Y8" s="14"/>
      <c r="Z8" s="21">
        <v>21000</v>
      </c>
      <c r="AA8" s="21">
        <v>15074707</v>
      </c>
      <c r="AB8" s="14">
        <v>0.2</v>
      </c>
      <c r="AC8" s="21">
        <f t="shared" si="0"/>
        <v>3014941.4000000004</v>
      </c>
      <c r="AD8" s="21">
        <v>15407373</v>
      </c>
      <c r="AE8" s="14">
        <v>1</v>
      </c>
      <c r="AF8" s="21">
        <v>15407373</v>
      </c>
      <c r="AG8" s="21">
        <v>1167118</v>
      </c>
      <c r="AH8" s="14">
        <v>1.25</v>
      </c>
      <c r="AI8" s="21">
        <v>1458897</v>
      </c>
      <c r="AJ8" s="21">
        <v>182570</v>
      </c>
      <c r="AK8" s="14">
        <v>2.7</v>
      </c>
      <c r="AL8" s="21">
        <v>492939</v>
      </c>
      <c r="AM8" s="21">
        <v>456413</v>
      </c>
      <c r="AN8" s="14">
        <v>1.5</v>
      </c>
      <c r="AO8" s="21">
        <v>684620</v>
      </c>
      <c r="AP8" s="21">
        <v>1356537</v>
      </c>
      <c r="AQ8" s="14">
        <v>5.63</v>
      </c>
      <c r="AR8" s="21">
        <v>7637303</v>
      </c>
      <c r="AS8" s="21">
        <v>27485610</v>
      </c>
      <c r="AT8" s="14"/>
      <c r="AU8" s="21">
        <v>2748561</v>
      </c>
      <c r="AV8" s="21">
        <v>91618700</v>
      </c>
      <c r="AW8" s="14"/>
      <c r="AX8" s="21">
        <v>2748561</v>
      </c>
      <c r="AY8" s="21">
        <v>27485610</v>
      </c>
      <c r="BA8" s="21">
        <v>274856</v>
      </c>
      <c r="BB8" s="14"/>
      <c r="BC8" s="14"/>
      <c r="BD8" s="21">
        <v>915040</v>
      </c>
      <c r="BE8" s="21">
        <v>5956890</v>
      </c>
      <c r="BF8" s="14"/>
      <c r="BG8" s="21">
        <v>9531024</v>
      </c>
      <c r="BH8" s="21">
        <v>508276</v>
      </c>
      <c r="BI8" s="14">
        <v>19</v>
      </c>
      <c r="BJ8" s="21">
        <v>9657244</v>
      </c>
      <c r="BK8" s="21">
        <v>392670</v>
      </c>
      <c r="BL8" s="14">
        <v>19</v>
      </c>
      <c r="BM8" s="21">
        <v>7460730</v>
      </c>
      <c r="BN8" s="21">
        <v>111405</v>
      </c>
      <c r="BO8" s="14"/>
      <c r="BP8" s="21">
        <f t="shared" si="1"/>
        <v>1114050</v>
      </c>
      <c r="BQ8" s="21">
        <v>149558</v>
      </c>
      <c r="BR8" s="14"/>
      <c r="BS8" s="21">
        <v>224337</v>
      </c>
      <c r="BU8" s="14"/>
      <c r="BW8" s="21">
        <v>5812</v>
      </c>
      <c r="BX8" s="14"/>
      <c r="BY8" s="21">
        <v>697440</v>
      </c>
      <c r="BZ8" s="21">
        <v>90842964</v>
      </c>
      <c r="CA8" s="14"/>
      <c r="CB8" s="14"/>
    </row>
    <row r="9" spans="1:80" ht="15.75">
      <c r="A9" s="33" t="s">
        <v>57</v>
      </c>
      <c r="B9" s="10" t="s">
        <v>7</v>
      </c>
      <c r="C9" s="11">
        <v>3360</v>
      </c>
      <c r="D9" s="12">
        <v>14.1</v>
      </c>
      <c r="E9" s="11">
        <v>47376</v>
      </c>
      <c r="F9" s="21">
        <v>4171</v>
      </c>
      <c r="G9" s="14">
        <v>15</v>
      </c>
      <c r="H9" s="21">
        <v>62565</v>
      </c>
      <c r="J9" s="14"/>
      <c r="M9" s="14"/>
      <c r="P9" s="14"/>
      <c r="S9" s="14"/>
      <c r="V9" s="14"/>
      <c r="Y9" s="14"/>
      <c r="AA9" s="21">
        <v>5216167</v>
      </c>
      <c r="AB9" s="14">
        <v>0.2</v>
      </c>
      <c r="AC9" s="21">
        <f t="shared" si="0"/>
        <v>1043233.4</v>
      </c>
      <c r="AD9" s="21">
        <v>6513806</v>
      </c>
      <c r="AE9" s="14">
        <v>0.9</v>
      </c>
      <c r="AF9" s="21">
        <v>5862425</v>
      </c>
      <c r="AG9" s="21">
        <v>734542</v>
      </c>
      <c r="AH9" s="14">
        <v>1.13</v>
      </c>
      <c r="AI9" s="21">
        <v>829932</v>
      </c>
      <c r="AJ9" s="21">
        <v>79060</v>
      </c>
      <c r="AK9" s="14">
        <v>2.25</v>
      </c>
      <c r="AL9" s="21">
        <v>177885</v>
      </c>
      <c r="AM9" s="21">
        <v>177575</v>
      </c>
      <c r="AN9" s="14">
        <v>1.25</v>
      </c>
      <c r="AO9" s="21">
        <v>221970</v>
      </c>
      <c r="AP9" s="21">
        <v>1462</v>
      </c>
      <c r="AQ9" s="14">
        <v>3.75</v>
      </c>
      <c r="AR9" s="21">
        <v>5483</v>
      </c>
      <c r="AS9" s="21">
        <v>14429190</v>
      </c>
      <c r="AT9" s="14"/>
      <c r="AU9" s="21">
        <v>1442919</v>
      </c>
      <c r="AV9" s="21">
        <v>48097300</v>
      </c>
      <c r="AW9" s="14"/>
      <c r="AX9" s="21">
        <v>1442919</v>
      </c>
      <c r="AY9" s="21">
        <v>14429190</v>
      </c>
      <c r="BA9" s="21">
        <v>144292</v>
      </c>
      <c r="BB9" s="14"/>
      <c r="BC9" s="14"/>
      <c r="BD9" s="21">
        <v>480320</v>
      </c>
      <c r="BE9" s="21">
        <v>2018490</v>
      </c>
      <c r="BF9" s="14"/>
      <c r="BG9" s="21">
        <v>3229584</v>
      </c>
      <c r="BH9" s="21">
        <v>161875</v>
      </c>
      <c r="BI9" s="14">
        <v>17</v>
      </c>
      <c r="BJ9" s="21">
        <v>2751875</v>
      </c>
      <c r="BK9" s="21">
        <v>152696</v>
      </c>
      <c r="BL9" s="14">
        <v>17</v>
      </c>
      <c r="BM9" s="21">
        <v>2595832</v>
      </c>
      <c r="BN9" s="21">
        <v>42662</v>
      </c>
      <c r="BO9" s="14"/>
      <c r="BP9" s="21">
        <f t="shared" si="1"/>
        <v>426620</v>
      </c>
      <c r="BQ9" s="21">
        <v>102777</v>
      </c>
      <c r="BR9" s="14"/>
      <c r="BS9" s="21">
        <v>154166</v>
      </c>
      <c r="BU9" s="14"/>
      <c r="BW9" s="21">
        <v>4590</v>
      </c>
      <c r="BX9" s="14"/>
      <c r="BY9" s="21">
        <v>550800</v>
      </c>
      <c r="BZ9" s="21">
        <v>28477294</v>
      </c>
      <c r="CA9" s="14"/>
      <c r="CB9" s="14"/>
    </row>
    <row r="10" spans="1:80" ht="15.75">
      <c r="A10" s="33" t="s">
        <v>58</v>
      </c>
      <c r="B10" s="10" t="s">
        <v>8</v>
      </c>
      <c r="C10" s="11">
        <v>4503</v>
      </c>
      <c r="D10" s="12">
        <v>14.2</v>
      </c>
      <c r="E10" s="11">
        <v>63943</v>
      </c>
      <c r="F10" s="21">
        <v>1984</v>
      </c>
      <c r="G10" s="14">
        <v>15</v>
      </c>
      <c r="H10" s="21">
        <v>29760</v>
      </c>
      <c r="I10" s="21">
        <v>16500</v>
      </c>
      <c r="J10" s="14">
        <v>24</v>
      </c>
      <c r="K10" s="21">
        <v>396000</v>
      </c>
      <c r="M10" s="14"/>
      <c r="P10" s="14"/>
      <c r="S10" s="14"/>
      <c r="V10" s="14"/>
      <c r="Y10" s="14"/>
      <c r="AA10" s="21">
        <v>3557135</v>
      </c>
      <c r="AB10" s="14">
        <v>0.2</v>
      </c>
      <c r="AC10" s="21">
        <f t="shared" si="0"/>
        <v>711427</v>
      </c>
      <c r="AD10" s="21">
        <v>8886208</v>
      </c>
      <c r="AE10" s="14">
        <v>1.05</v>
      </c>
      <c r="AF10" s="21">
        <v>9330518</v>
      </c>
      <c r="AG10" s="21">
        <v>561468</v>
      </c>
      <c r="AH10" s="14">
        <v>1.31</v>
      </c>
      <c r="AI10" s="21">
        <v>735523</v>
      </c>
      <c r="AJ10" s="21">
        <v>34380</v>
      </c>
      <c r="AK10" s="14">
        <v>1.8</v>
      </c>
      <c r="AL10" s="21">
        <v>61884</v>
      </c>
      <c r="AM10" s="21">
        <v>85916</v>
      </c>
      <c r="AN10" s="14">
        <v>1</v>
      </c>
      <c r="AO10" s="21">
        <v>85916</v>
      </c>
      <c r="AP10" s="21">
        <v>352945</v>
      </c>
      <c r="AQ10" s="14">
        <v>4.35</v>
      </c>
      <c r="AR10" s="21">
        <v>1535311</v>
      </c>
      <c r="AS10" s="21">
        <v>8221950</v>
      </c>
      <c r="AT10" s="14"/>
      <c r="AU10" s="21">
        <v>822195</v>
      </c>
      <c r="AV10" s="21">
        <v>28403100</v>
      </c>
      <c r="AW10" s="14"/>
      <c r="AX10" s="21">
        <v>852093</v>
      </c>
      <c r="AY10" s="21">
        <v>8221950</v>
      </c>
      <c r="BA10" s="21">
        <v>82220</v>
      </c>
      <c r="BB10" s="14"/>
      <c r="BC10" s="14"/>
      <c r="BD10" s="21">
        <v>373280</v>
      </c>
      <c r="BE10" s="21">
        <v>1776840</v>
      </c>
      <c r="BF10" s="14"/>
      <c r="BG10" s="21">
        <v>2842944</v>
      </c>
      <c r="BH10" s="21">
        <v>93074</v>
      </c>
      <c r="BI10" s="14">
        <v>16</v>
      </c>
      <c r="BJ10" s="21">
        <v>1489184</v>
      </c>
      <c r="BK10" s="21">
        <v>160842</v>
      </c>
      <c r="BL10" s="14">
        <v>16</v>
      </c>
      <c r="BM10" s="21">
        <v>2573472</v>
      </c>
      <c r="BN10" s="21">
        <v>44159</v>
      </c>
      <c r="BO10" s="14"/>
      <c r="BP10" s="21">
        <f t="shared" si="1"/>
        <v>441590</v>
      </c>
      <c r="BQ10" s="21">
        <v>39787</v>
      </c>
      <c r="BR10" s="14"/>
      <c r="BS10" s="21">
        <v>59680</v>
      </c>
      <c r="BT10" s="21">
        <v>500</v>
      </c>
      <c r="BU10" s="14">
        <v>80</v>
      </c>
      <c r="BV10" s="21">
        <v>40000</v>
      </c>
      <c r="BW10" s="21">
        <v>2462</v>
      </c>
      <c r="BX10" s="14"/>
      <c r="BY10" s="21">
        <v>295440</v>
      </c>
      <c r="BZ10" s="21">
        <v>31514154</v>
      </c>
      <c r="CA10" s="14"/>
      <c r="CB10" s="14"/>
    </row>
    <row r="11" spans="1:80" ht="15.75">
      <c r="A11" s="33" t="s">
        <v>59</v>
      </c>
      <c r="B11" s="10" t="s">
        <v>9</v>
      </c>
      <c r="C11" s="11">
        <v>2255</v>
      </c>
      <c r="D11" s="12">
        <v>14.2</v>
      </c>
      <c r="E11" s="11">
        <v>32021</v>
      </c>
      <c r="F11" s="21">
        <v>3196</v>
      </c>
      <c r="G11" s="14">
        <v>14</v>
      </c>
      <c r="H11" s="21">
        <v>44744</v>
      </c>
      <c r="J11" s="14"/>
      <c r="M11" s="14"/>
      <c r="P11" s="14"/>
      <c r="S11" s="14"/>
      <c r="V11" s="14"/>
      <c r="Y11" s="14"/>
      <c r="AA11" s="21">
        <v>5050754</v>
      </c>
      <c r="AB11" s="14">
        <v>0.2</v>
      </c>
      <c r="AC11" s="21">
        <f t="shared" si="0"/>
        <v>1010150.8</v>
      </c>
      <c r="AD11" s="21">
        <v>7090911</v>
      </c>
      <c r="AE11" s="14">
        <v>1</v>
      </c>
      <c r="AF11" s="21">
        <v>7090911</v>
      </c>
      <c r="AG11" s="21">
        <v>186814</v>
      </c>
      <c r="AH11" s="14">
        <v>1.25</v>
      </c>
      <c r="AI11" s="21">
        <v>233518</v>
      </c>
      <c r="AJ11" s="21">
        <v>101520</v>
      </c>
      <c r="AK11" s="14">
        <v>1.8</v>
      </c>
      <c r="AL11" s="21">
        <v>182736</v>
      </c>
      <c r="AM11" s="21">
        <v>296135</v>
      </c>
      <c r="AN11" s="14">
        <v>1</v>
      </c>
      <c r="AO11" s="21">
        <v>296135</v>
      </c>
      <c r="AP11" s="21">
        <v>711064</v>
      </c>
      <c r="AQ11" s="14">
        <v>3.75</v>
      </c>
      <c r="AR11" s="21">
        <v>2666490</v>
      </c>
      <c r="AS11" s="21">
        <v>3491840</v>
      </c>
      <c r="AT11" s="14"/>
      <c r="AU11" s="21">
        <v>349184</v>
      </c>
      <c r="AV11" s="21">
        <v>12062720</v>
      </c>
      <c r="AW11" s="14"/>
      <c r="AX11" s="21">
        <v>361882</v>
      </c>
      <c r="AY11" s="21">
        <v>3491840</v>
      </c>
      <c r="BA11" s="21">
        <v>34918</v>
      </c>
      <c r="BB11" s="14"/>
      <c r="BC11" s="14"/>
      <c r="BD11" s="21">
        <v>158560</v>
      </c>
      <c r="BE11" s="21">
        <v>1163400</v>
      </c>
      <c r="BF11" s="14"/>
      <c r="BG11" s="21">
        <v>1861440</v>
      </c>
      <c r="BH11" s="21">
        <v>106155</v>
      </c>
      <c r="BI11" s="14">
        <v>20</v>
      </c>
      <c r="BJ11" s="21">
        <v>2123100</v>
      </c>
      <c r="BK11" s="21">
        <v>111011</v>
      </c>
      <c r="BL11" s="14">
        <v>20</v>
      </c>
      <c r="BM11" s="21">
        <v>2220220</v>
      </c>
      <c r="BN11" s="21">
        <v>30338</v>
      </c>
      <c r="BO11" s="14"/>
      <c r="BP11" s="21">
        <f t="shared" si="1"/>
        <v>303380</v>
      </c>
      <c r="BQ11" s="21">
        <v>112571</v>
      </c>
      <c r="BR11" s="14"/>
      <c r="BS11" s="21">
        <v>168857</v>
      </c>
      <c r="BT11" s="21">
        <v>20000</v>
      </c>
      <c r="BU11" s="14"/>
      <c r="BV11" s="21">
        <v>1600000</v>
      </c>
      <c r="BW11" s="21">
        <v>10507</v>
      </c>
      <c r="BX11" s="14"/>
      <c r="BY11" s="21">
        <v>1260840</v>
      </c>
      <c r="BZ11" s="21">
        <v>28237811</v>
      </c>
      <c r="CA11" s="14"/>
      <c r="CB11" s="14"/>
    </row>
    <row r="12" spans="1:80" ht="15.75">
      <c r="A12" s="33" t="s">
        <v>60</v>
      </c>
      <c r="B12" s="10" t="s">
        <v>10</v>
      </c>
      <c r="C12" s="11">
        <v>8544</v>
      </c>
      <c r="D12" s="12">
        <v>15</v>
      </c>
      <c r="E12" s="11">
        <v>128160</v>
      </c>
      <c r="F12" s="21">
        <v>3349</v>
      </c>
      <c r="G12" s="14">
        <v>14</v>
      </c>
      <c r="H12" s="21">
        <v>46886</v>
      </c>
      <c r="J12" s="14"/>
      <c r="M12" s="14"/>
      <c r="O12" s="21">
        <v>4680</v>
      </c>
      <c r="P12" s="14">
        <v>12</v>
      </c>
      <c r="Q12" s="21">
        <v>56160</v>
      </c>
      <c r="S12" s="14"/>
      <c r="U12" s="21">
        <v>612</v>
      </c>
      <c r="V12" s="14"/>
      <c r="W12" s="21">
        <v>6120</v>
      </c>
      <c r="Y12" s="14"/>
      <c r="Z12" s="21">
        <v>21000</v>
      </c>
      <c r="AA12" s="21">
        <v>5873310</v>
      </c>
      <c r="AB12" s="14">
        <v>0.2</v>
      </c>
      <c r="AC12" s="21">
        <f t="shared" si="0"/>
        <v>1174662</v>
      </c>
      <c r="AD12" s="21">
        <v>31820111</v>
      </c>
      <c r="AE12" s="23">
        <v>1.308</v>
      </c>
      <c r="AF12" s="21">
        <v>41620553</v>
      </c>
      <c r="AG12" s="21">
        <v>1460398</v>
      </c>
      <c r="AH12" s="14">
        <v>1.73</v>
      </c>
      <c r="AI12" s="21">
        <v>2526489</v>
      </c>
      <c r="AJ12" s="21">
        <v>182640</v>
      </c>
      <c r="AK12" s="14">
        <v>1.8</v>
      </c>
      <c r="AL12" s="21">
        <v>328752</v>
      </c>
      <c r="AM12" s="21">
        <v>549406</v>
      </c>
      <c r="AN12" s="14">
        <v>1</v>
      </c>
      <c r="AO12" s="21">
        <v>549406</v>
      </c>
      <c r="AP12" s="21">
        <v>334860</v>
      </c>
      <c r="AQ12" s="14">
        <v>4.65</v>
      </c>
      <c r="AR12" s="21">
        <v>1557099</v>
      </c>
      <c r="AS12" s="21">
        <v>25000560</v>
      </c>
      <c r="AT12" s="14"/>
      <c r="AU12" s="21">
        <v>2500056</v>
      </c>
      <c r="AV12" s="21">
        <v>84617280</v>
      </c>
      <c r="AW12" s="14"/>
      <c r="AX12" s="21">
        <v>2538518</v>
      </c>
      <c r="AY12" s="21">
        <v>25000560</v>
      </c>
      <c r="BA12" s="21">
        <v>250006</v>
      </c>
      <c r="BB12" s="14"/>
      <c r="BC12" s="14"/>
      <c r="BD12" s="21">
        <v>960320</v>
      </c>
      <c r="BE12" s="21">
        <v>5754870</v>
      </c>
      <c r="BF12" s="14"/>
      <c r="BG12" s="21">
        <v>9207792</v>
      </c>
      <c r="BH12" s="21">
        <v>156657</v>
      </c>
      <c r="BI12" s="14">
        <v>23</v>
      </c>
      <c r="BJ12" s="21">
        <v>3603111</v>
      </c>
      <c r="BK12" s="21">
        <v>233982</v>
      </c>
      <c r="BL12" s="14">
        <v>23</v>
      </c>
      <c r="BM12" s="21">
        <v>5381586</v>
      </c>
      <c r="BN12" s="21">
        <v>71284</v>
      </c>
      <c r="BO12" s="14"/>
      <c r="BP12" s="21">
        <f t="shared" si="1"/>
        <v>712840</v>
      </c>
      <c r="BQ12" s="21">
        <v>179710</v>
      </c>
      <c r="BR12" s="14"/>
      <c r="BS12" s="21">
        <v>269565</v>
      </c>
      <c r="BT12" s="21">
        <v>37000</v>
      </c>
      <c r="BU12" s="14"/>
      <c r="BV12" s="21">
        <v>2960000</v>
      </c>
      <c r="BW12" s="21">
        <v>7935</v>
      </c>
      <c r="BX12" s="14"/>
      <c r="BY12" s="21">
        <v>952200</v>
      </c>
      <c r="BZ12" s="21">
        <v>89115416</v>
      </c>
      <c r="CA12" s="14"/>
      <c r="CB12" s="14"/>
    </row>
    <row r="13" spans="1:80" ht="15.75">
      <c r="A13" s="33" t="s">
        <v>61</v>
      </c>
      <c r="B13" s="10" t="s">
        <v>11</v>
      </c>
      <c r="C13" s="11">
        <v>136800</v>
      </c>
      <c r="D13" s="12">
        <v>15.1</v>
      </c>
      <c r="E13" s="11">
        <v>2065680</v>
      </c>
      <c r="F13" s="21">
        <v>118750</v>
      </c>
      <c r="G13" s="14">
        <v>16.2</v>
      </c>
      <c r="H13" s="21">
        <v>1923750</v>
      </c>
      <c r="J13" s="14"/>
      <c r="L13" s="21">
        <v>486000</v>
      </c>
      <c r="M13" s="14">
        <v>6.5</v>
      </c>
      <c r="N13" s="21">
        <v>3159000</v>
      </c>
      <c r="P13" s="14"/>
      <c r="R13" s="21">
        <v>73000</v>
      </c>
      <c r="S13" s="14"/>
      <c r="T13" s="21">
        <v>7300000</v>
      </c>
      <c r="U13" s="21">
        <v>36000</v>
      </c>
      <c r="V13" s="14"/>
      <c r="W13" s="21">
        <v>360000</v>
      </c>
      <c r="Y13" s="14"/>
      <c r="Z13" s="21">
        <v>315000</v>
      </c>
      <c r="AA13" s="21">
        <v>76157050</v>
      </c>
      <c r="AB13" s="14">
        <v>0.2</v>
      </c>
      <c r="AC13" s="21">
        <f t="shared" si="0"/>
        <v>15231410</v>
      </c>
      <c r="AD13" s="21">
        <v>27062263</v>
      </c>
      <c r="AE13" s="14">
        <v>1.72</v>
      </c>
      <c r="AF13" s="21">
        <v>46547092</v>
      </c>
      <c r="AG13" s="21">
        <v>16948400</v>
      </c>
      <c r="AH13" s="14">
        <v>2.15</v>
      </c>
      <c r="AI13" s="21">
        <v>36439060</v>
      </c>
      <c r="AJ13" s="21">
        <v>967680</v>
      </c>
      <c r="AK13" s="14">
        <v>3</v>
      </c>
      <c r="AL13" s="21">
        <v>2903040</v>
      </c>
      <c r="AM13" s="21">
        <v>1935354</v>
      </c>
      <c r="AN13" s="14">
        <v>1.75</v>
      </c>
      <c r="AO13" s="21">
        <v>3386870</v>
      </c>
      <c r="AP13" s="21">
        <v>61258</v>
      </c>
      <c r="AQ13" s="14">
        <v>6.75</v>
      </c>
      <c r="AR13" s="21">
        <v>413642</v>
      </c>
      <c r="AS13" s="21">
        <v>43956025</v>
      </c>
      <c r="AT13" s="14"/>
      <c r="AU13" s="21">
        <v>4395603</v>
      </c>
      <c r="AV13" s="21">
        <v>145748925</v>
      </c>
      <c r="AW13" s="14"/>
      <c r="AX13" s="21">
        <v>4372468</v>
      </c>
      <c r="AY13" s="21">
        <v>41642550</v>
      </c>
      <c r="BA13" s="21">
        <v>416425</v>
      </c>
      <c r="BB13" s="14"/>
      <c r="BC13" s="14"/>
      <c r="BD13" s="21">
        <v>1115200</v>
      </c>
      <c r="BE13" s="21">
        <v>21712230</v>
      </c>
      <c r="BF13" s="14"/>
      <c r="BG13" s="21">
        <v>34739568</v>
      </c>
      <c r="BH13" s="21">
        <v>839067</v>
      </c>
      <c r="BI13" s="14">
        <v>18</v>
      </c>
      <c r="BJ13" s="21">
        <v>15103206</v>
      </c>
      <c r="BK13" s="21">
        <v>1146202</v>
      </c>
      <c r="BL13" s="14">
        <v>18</v>
      </c>
      <c r="BM13" s="21">
        <v>20631638</v>
      </c>
      <c r="BN13" s="21">
        <v>334800</v>
      </c>
      <c r="BO13" s="14"/>
      <c r="BP13" s="21">
        <f t="shared" si="1"/>
        <v>3348000</v>
      </c>
      <c r="BQ13" s="21">
        <v>667621</v>
      </c>
      <c r="BR13" s="14"/>
      <c r="BS13" s="21">
        <v>1001431</v>
      </c>
      <c r="BU13" s="14"/>
      <c r="BW13" s="21">
        <v>38099</v>
      </c>
      <c r="BX13" s="14"/>
      <c r="BY13" s="21">
        <v>4571880</v>
      </c>
      <c r="BZ13" s="21">
        <v>384890289</v>
      </c>
      <c r="CA13" s="14"/>
      <c r="CB13" s="14"/>
    </row>
    <row r="14" spans="1:80" ht="15.75">
      <c r="A14" s="33" t="s">
        <v>62</v>
      </c>
      <c r="B14" s="10" t="s">
        <v>12</v>
      </c>
      <c r="C14" s="11">
        <v>98525</v>
      </c>
      <c r="D14" s="12">
        <v>15.2</v>
      </c>
      <c r="E14" s="11">
        <v>1497580</v>
      </c>
      <c r="F14" s="21">
        <v>39831</v>
      </c>
      <c r="G14" s="14">
        <v>15</v>
      </c>
      <c r="H14" s="21">
        <v>597465</v>
      </c>
      <c r="J14" s="14"/>
      <c r="M14" s="14"/>
      <c r="P14" s="14"/>
      <c r="R14" s="21">
        <v>2000</v>
      </c>
      <c r="S14" s="14"/>
      <c r="T14" s="21">
        <v>200000</v>
      </c>
      <c r="U14" s="21">
        <v>28083</v>
      </c>
      <c r="V14" s="14"/>
      <c r="W14" s="21">
        <v>280830</v>
      </c>
      <c r="Y14" s="14"/>
      <c r="Z14" s="21">
        <v>147000</v>
      </c>
      <c r="AA14" s="21">
        <v>36524000</v>
      </c>
      <c r="AB14" s="14">
        <v>0.2</v>
      </c>
      <c r="AC14" s="21">
        <f t="shared" si="0"/>
        <v>7304800</v>
      </c>
      <c r="AD14" s="21">
        <v>11550438</v>
      </c>
      <c r="AE14" s="14">
        <v>1.77</v>
      </c>
      <c r="AF14" s="21">
        <v>20444276</v>
      </c>
      <c r="AG14" s="21">
        <v>4556042</v>
      </c>
      <c r="AH14" s="14">
        <v>2.2</v>
      </c>
      <c r="AI14" s="21">
        <v>10023292</v>
      </c>
      <c r="AJ14" s="21">
        <v>396740</v>
      </c>
      <c r="AK14" s="14">
        <v>3.3</v>
      </c>
      <c r="AL14" s="21">
        <v>1309242</v>
      </c>
      <c r="AM14" s="21">
        <v>661228</v>
      </c>
      <c r="AN14" s="14">
        <v>2</v>
      </c>
      <c r="AO14" s="21">
        <v>1322456</v>
      </c>
      <c r="AP14" s="21">
        <v>617280</v>
      </c>
      <c r="AQ14" s="14">
        <v>6.08</v>
      </c>
      <c r="AR14" s="21">
        <v>3753063</v>
      </c>
      <c r="AS14" s="21">
        <v>19004085</v>
      </c>
      <c r="AT14" s="14"/>
      <c r="AU14" s="21">
        <v>1900408</v>
      </c>
      <c r="AV14" s="21">
        <v>63013545</v>
      </c>
      <c r="AW14" s="14"/>
      <c r="AX14" s="21">
        <v>1890406</v>
      </c>
      <c r="AY14" s="21">
        <v>18003870</v>
      </c>
      <c r="BA14" s="21">
        <v>180039</v>
      </c>
      <c r="BB14" s="14"/>
      <c r="BC14" s="14"/>
      <c r="BD14" s="21">
        <v>499520</v>
      </c>
      <c r="BE14" s="21">
        <v>7741170</v>
      </c>
      <c r="BF14" s="14"/>
      <c r="BG14" s="21">
        <v>12385872</v>
      </c>
      <c r="BH14" s="21">
        <v>382237</v>
      </c>
      <c r="BI14" s="14">
        <v>17</v>
      </c>
      <c r="BJ14" s="21">
        <v>6498029</v>
      </c>
      <c r="BK14" s="21">
        <v>334818</v>
      </c>
      <c r="BL14" s="14">
        <v>17</v>
      </c>
      <c r="BM14" s="21">
        <v>5691906</v>
      </c>
      <c r="BN14" s="21">
        <v>100832</v>
      </c>
      <c r="BO14" s="14"/>
      <c r="BP14" s="21">
        <f t="shared" si="1"/>
        <v>1008320</v>
      </c>
      <c r="BQ14" s="21">
        <v>231282</v>
      </c>
      <c r="BR14" s="14"/>
      <c r="BS14" s="21">
        <v>346921</v>
      </c>
      <c r="BU14" s="14"/>
      <c r="BW14" s="21">
        <v>14077</v>
      </c>
      <c r="BX14" s="14"/>
      <c r="BY14" s="21">
        <v>1689240</v>
      </c>
      <c r="BZ14" s="21">
        <v>165552778</v>
      </c>
      <c r="CA14" s="14"/>
      <c r="CB14" s="14"/>
    </row>
    <row r="15" spans="1:80" ht="15.75">
      <c r="A15" s="33" t="s">
        <v>63</v>
      </c>
      <c r="B15" s="10" t="s">
        <v>13</v>
      </c>
      <c r="C15" s="11">
        <v>39262</v>
      </c>
      <c r="D15" s="12">
        <v>14</v>
      </c>
      <c r="E15" s="11">
        <v>549668</v>
      </c>
      <c r="F15" s="21">
        <v>3042</v>
      </c>
      <c r="G15" s="14">
        <v>15.2</v>
      </c>
      <c r="H15" s="21">
        <v>46238</v>
      </c>
      <c r="J15" s="14"/>
      <c r="M15" s="14"/>
      <c r="P15" s="14"/>
      <c r="S15" s="14"/>
      <c r="U15" s="21">
        <v>500</v>
      </c>
      <c r="V15" s="14"/>
      <c r="W15" s="21">
        <v>5000</v>
      </c>
      <c r="Y15" s="14"/>
      <c r="AA15" s="21">
        <v>7357592</v>
      </c>
      <c r="AB15" s="14">
        <v>0.2</v>
      </c>
      <c r="AC15" s="21">
        <f t="shared" si="0"/>
        <v>1471518.4000000001</v>
      </c>
      <c r="AD15" s="21">
        <v>2794700</v>
      </c>
      <c r="AE15" s="14">
        <v>1.74</v>
      </c>
      <c r="AF15" s="21">
        <v>4862778</v>
      </c>
      <c r="AG15" s="21">
        <v>1233296</v>
      </c>
      <c r="AH15" s="14">
        <v>2.18</v>
      </c>
      <c r="AI15" s="21">
        <v>2688585</v>
      </c>
      <c r="AJ15" s="21">
        <v>90000</v>
      </c>
      <c r="AK15" s="14">
        <v>2.7</v>
      </c>
      <c r="AL15" s="21">
        <v>243000</v>
      </c>
      <c r="AM15" s="21">
        <v>180000</v>
      </c>
      <c r="AN15" s="14">
        <v>1.5</v>
      </c>
      <c r="AO15" s="21">
        <v>270000</v>
      </c>
      <c r="AQ15" s="14"/>
      <c r="AS15" s="21">
        <v>5591206</v>
      </c>
      <c r="AT15" s="14"/>
      <c r="AU15" s="21">
        <v>559120</v>
      </c>
      <c r="AV15" s="21">
        <v>18539262</v>
      </c>
      <c r="AW15" s="14"/>
      <c r="AX15" s="21">
        <v>556178</v>
      </c>
      <c r="AY15" s="21">
        <v>5296932</v>
      </c>
      <c r="BA15" s="21">
        <v>52970</v>
      </c>
      <c r="BB15" s="14"/>
      <c r="BC15" s="14"/>
      <c r="BD15" s="21">
        <v>147040</v>
      </c>
      <c r="BE15" s="21">
        <v>2619240</v>
      </c>
      <c r="BF15" s="14"/>
      <c r="BG15" s="21">
        <v>4190784</v>
      </c>
      <c r="BH15" s="21">
        <v>106886</v>
      </c>
      <c r="BI15" s="14">
        <v>18</v>
      </c>
      <c r="BJ15" s="21">
        <v>1923948</v>
      </c>
      <c r="BK15" s="21">
        <v>91794</v>
      </c>
      <c r="BL15" s="14">
        <v>18</v>
      </c>
      <c r="BM15" s="21">
        <v>1652292</v>
      </c>
      <c r="BN15" s="21">
        <v>28769</v>
      </c>
      <c r="BO15" s="14"/>
      <c r="BP15" s="21">
        <f t="shared" si="1"/>
        <v>287690</v>
      </c>
      <c r="BQ15" s="21">
        <v>70437</v>
      </c>
      <c r="BR15" s="14"/>
      <c r="BS15" s="21">
        <v>105655</v>
      </c>
      <c r="BU15" s="14"/>
      <c r="BW15" s="21">
        <v>3152</v>
      </c>
      <c r="BX15" s="14"/>
      <c r="BY15" s="21">
        <v>378240</v>
      </c>
      <c r="BZ15" s="21">
        <v>38996469</v>
      </c>
      <c r="CA15" s="14"/>
      <c r="CB15" s="14"/>
    </row>
    <row r="16" spans="1:80" ht="15.75">
      <c r="A16" s="33" t="s">
        <v>64</v>
      </c>
      <c r="B16" s="10" t="s">
        <v>14</v>
      </c>
      <c r="C16" s="11">
        <v>133984</v>
      </c>
      <c r="D16" s="12">
        <v>13</v>
      </c>
      <c r="E16" s="11">
        <v>1741792</v>
      </c>
      <c r="F16" s="21">
        <v>229464</v>
      </c>
      <c r="G16" s="14">
        <v>14</v>
      </c>
      <c r="H16" s="21">
        <v>3212496</v>
      </c>
      <c r="J16" s="14"/>
      <c r="L16" s="21">
        <v>263872</v>
      </c>
      <c r="M16" s="14">
        <v>5.3</v>
      </c>
      <c r="N16" s="21">
        <v>1398522</v>
      </c>
      <c r="O16" s="21">
        <v>110000</v>
      </c>
      <c r="P16" s="14"/>
      <c r="Q16" s="21">
        <v>1320000</v>
      </c>
      <c r="S16" s="14"/>
      <c r="U16" s="21">
        <v>5093</v>
      </c>
      <c r="V16" s="14"/>
      <c r="W16" s="21">
        <v>50930</v>
      </c>
      <c r="Y16" s="14"/>
      <c r="Z16" s="21">
        <v>63000</v>
      </c>
      <c r="AA16" s="21">
        <v>125046835</v>
      </c>
      <c r="AB16" s="14">
        <v>0.2</v>
      </c>
      <c r="AC16" s="21">
        <f t="shared" si="0"/>
        <v>25009367</v>
      </c>
      <c r="AD16" s="21">
        <v>34749021</v>
      </c>
      <c r="AE16" s="14">
        <v>1</v>
      </c>
      <c r="AF16" s="21">
        <v>34749021</v>
      </c>
      <c r="AG16" s="21">
        <v>7467120</v>
      </c>
      <c r="AH16" s="14">
        <v>1.25</v>
      </c>
      <c r="AI16" s="21">
        <v>9333900</v>
      </c>
      <c r="AJ16" s="21">
        <v>264300</v>
      </c>
      <c r="AK16" s="14">
        <v>1.5</v>
      </c>
      <c r="AL16" s="21">
        <v>396450</v>
      </c>
      <c r="AM16" s="21">
        <v>830968</v>
      </c>
      <c r="AN16" s="14">
        <v>0.9</v>
      </c>
      <c r="AO16" s="21">
        <v>747871</v>
      </c>
      <c r="AQ16" s="14"/>
      <c r="AS16" s="21">
        <v>37615479</v>
      </c>
      <c r="AT16" s="14"/>
      <c r="AU16" s="21">
        <v>3761548</v>
      </c>
      <c r="AV16" s="21">
        <v>129944382</v>
      </c>
      <c r="AW16" s="14"/>
      <c r="AX16" s="21">
        <v>3898331</v>
      </c>
      <c r="AY16" s="21">
        <v>37615479</v>
      </c>
      <c r="BA16" s="21">
        <v>376154</v>
      </c>
      <c r="BB16" s="14"/>
      <c r="BC16" s="14"/>
      <c r="BD16" s="21">
        <v>1707680</v>
      </c>
      <c r="BE16" s="21">
        <v>23086860</v>
      </c>
      <c r="BF16" s="14"/>
      <c r="BG16" s="21">
        <v>36938976</v>
      </c>
      <c r="BH16" s="21">
        <v>934461</v>
      </c>
      <c r="BI16" s="14">
        <v>11</v>
      </c>
      <c r="BJ16" s="21">
        <v>10279072</v>
      </c>
      <c r="BK16" s="21">
        <v>1581487</v>
      </c>
      <c r="BL16" s="14">
        <v>11</v>
      </c>
      <c r="BM16" s="21">
        <v>17396357</v>
      </c>
      <c r="BN16" s="21">
        <v>446676</v>
      </c>
      <c r="BO16" s="14"/>
      <c r="BP16" s="21">
        <f t="shared" si="1"/>
        <v>4466760</v>
      </c>
      <c r="BQ16" s="21">
        <v>623675</v>
      </c>
      <c r="BR16" s="14"/>
      <c r="BS16" s="21">
        <v>935513</v>
      </c>
      <c r="BU16" s="14"/>
      <c r="BW16" s="21">
        <v>24325</v>
      </c>
      <c r="BX16" s="14"/>
      <c r="BY16" s="21">
        <v>2919000</v>
      </c>
      <c r="BZ16" s="21">
        <v>351193678</v>
      </c>
      <c r="CA16" s="14"/>
      <c r="CB16" s="14"/>
    </row>
    <row r="17" spans="1:80" ht="15.75">
      <c r="A17" s="33" t="s">
        <v>65</v>
      </c>
      <c r="B17" s="10" t="s">
        <v>15</v>
      </c>
      <c r="C17" s="11">
        <v>552</v>
      </c>
      <c r="D17" s="12">
        <v>12</v>
      </c>
      <c r="E17" s="11">
        <v>6624</v>
      </c>
      <c r="G17" s="14"/>
      <c r="J17" s="14"/>
      <c r="L17" s="21">
        <v>88257</v>
      </c>
      <c r="M17" s="14">
        <v>5</v>
      </c>
      <c r="N17" s="21">
        <v>441285</v>
      </c>
      <c r="P17" s="14"/>
      <c r="S17" s="14"/>
      <c r="U17" s="21">
        <v>284</v>
      </c>
      <c r="V17" s="14"/>
      <c r="W17" s="21">
        <v>2840</v>
      </c>
      <c r="Y17" s="14"/>
      <c r="AA17" s="21">
        <v>8289587</v>
      </c>
      <c r="AB17" s="14">
        <v>0.2</v>
      </c>
      <c r="AC17" s="21">
        <f t="shared" si="0"/>
        <v>1657917.4000000001</v>
      </c>
      <c r="AD17" s="21">
        <v>5060313</v>
      </c>
      <c r="AE17" s="14">
        <v>0.9</v>
      </c>
      <c r="AF17" s="21">
        <v>4554282</v>
      </c>
      <c r="AG17" s="21">
        <v>346542</v>
      </c>
      <c r="AH17" s="14">
        <v>1.13</v>
      </c>
      <c r="AI17" s="21">
        <v>391592</v>
      </c>
      <c r="AJ17" s="21">
        <v>40710</v>
      </c>
      <c r="AK17" s="14">
        <v>1.1</v>
      </c>
      <c r="AL17" s="21">
        <v>44781</v>
      </c>
      <c r="AM17" s="21">
        <v>162840</v>
      </c>
      <c r="AN17" s="14">
        <v>0.7</v>
      </c>
      <c r="AO17" s="21">
        <v>113988</v>
      </c>
      <c r="AP17" s="21">
        <v>357</v>
      </c>
      <c r="AQ17" s="14">
        <v>3.75</v>
      </c>
      <c r="AR17" s="21">
        <v>1339</v>
      </c>
      <c r="AS17" s="21">
        <v>9141957</v>
      </c>
      <c r="AT17" s="14"/>
      <c r="AU17" s="21">
        <v>914196</v>
      </c>
      <c r="AV17" s="21">
        <v>31581306</v>
      </c>
      <c r="AW17" s="14"/>
      <c r="AX17" s="21">
        <v>947439</v>
      </c>
      <c r="AY17" s="21">
        <v>9141957</v>
      </c>
      <c r="BA17" s="21">
        <v>91420</v>
      </c>
      <c r="BB17" s="14"/>
      <c r="BC17" s="14"/>
      <c r="BD17" s="21">
        <v>415040</v>
      </c>
      <c r="BE17" s="21">
        <v>1643460</v>
      </c>
      <c r="BF17" s="14"/>
      <c r="BG17" s="21">
        <v>2629536</v>
      </c>
      <c r="BH17" s="21">
        <v>109994</v>
      </c>
      <c r="BI17" s="14">
        <v>10</v>
      </c>
      <c r="BJ17" s="21">
        <v>1099940</v>
      </c>
      <c r="BK17" s="21">
        <v>179492</v>
      </c>
      <c r="BL17" s="14">
        <v>10</v>
      </c>
      <c r="BM17" s="21">
        <v>1794920</v>
      </c>
      <c r="BN17" s="21">
        <v>48525</v>
      </c>
      <c r="BO17" s="14"/>
      <c r="BP17" s="21">
        <f t="shared" si="1"/>
        <v>485250</v>
      </c>
      <c r="BQ17" s="21">
        <v>73340</v>
      </c>
      <c r="BR17" s="14"/>
      <c r="BS17" s="21">
        <v>110010</v>
      </c>
      <c r="BU17" s="14"/>
      <c r="BW17" s="21">
        <v>4357</v>
      </c>
      <c r="BX17" s="14"/>
      <c r="BY17" s="21">
        <v>522840</v>
      </c>
      <c r="BZ17" s="21">
        <v>23349682</v>
      </c>
      <c r="CA17" s="14"/>
      <c r="CB17" s="14"/>
    </row>
    <row r="18" spans="1:80" ht="15.75">
      <c r="A18" s="33" t="s">
        <v>66</v>
      </c>
      <c r="B18" s="10" t="s">
        <v>16</v>
      </c>
      <c r="C18" s="11">
        <v>399</v>
      </c>
      <c r="D18" s="12">
        <v>13</v>
      </c>
      <c r="E18" s="11">
        <v>5187</v>
      </c>
      <c r="F18" s="21">
        <v>692</v>
      </c>
      <c r="G18" s="14">
        <v>14.8</v>
      </c>
      <c r="H18" s="21">
        <v>10242</v>
      </c>
      <c r="I18" s="21">
        <v>50400</v>
      </c>
      <c r="J18" s="14">
        <v>27</v>
      </c>
      <c r="K18" s="21">
        <v>1360800</v>
      </c>
      <c r="M18" s="14"/>
      <c r="P18" s="14"/>
      <c r="S18" s="14"/>
      <c r="U18" s="21">
        <v>2128</v>
      </c>
      <c r="V18" s="14"/>
      <c r="W18" s="21">
        <v>21280</v>
      </c>
      <c r="Y18" s="14"/>
      <c r="AA18" s="21">
        <v>6377124</v>
      </c>
      <c r="AB18" s="14">
        <v>0.2</v>
      </c>
      <c r="AC18" s="21">
        <f t="shared" si="0"/>
        <v>1275424.8</v>
      </c>
      <c r="AD18" s="21">
        <v>7797468</v>
      </c>
      <c r="AE18" s="14">
        <v>2.2</v>
      </c>
      <c r="AF18" s="21">
        <v>17154430</v>
      </c>
      <c r="AG18" s="21">
        <v>232551</v>
      </c>
      <c r="AH18" s="14">
        <v>2.75</v>
      </c>
      <c r="AI18" s="21">
        <v>639416</v>
      </c>
      <c r="AJ18" s="21">
        <v>31500</v>
      </c>
      <c r="AK18" s="14">
        <v>2.5</v>
      </c>
      <c r="AL18" s="21">
        <v>78750</v>
      </c>
      <c r="AM18" s="21">
        <v>76482</v>
      </c>
      <c r="AN18" s="14">
        <v>1</v>
      </c>
      <c r="AO18" s="21">
        <v>76482</v>
      </c>
      <c r="AP18" s="21">
        <v>1197990</v>
      </c>
      <c r="AQ18" s="14">
        <v>4.05</v>
      </c>
      <c r="AR18" s="21">
        <v>4851860</v>
      </c>
      <c r="AS18" s="21">
        <v>5230533</v>
      </c>
      <c r="AT18" s="14"/>
      <c r="AU18" s="21">
        <v>523053</v>
      </c>
      <c r="AV18" s="21">
        <v>18069114</v>
      </c>
      <c r="AW18" s="14"/>
      <c r="AX18" s="21">
        <v>542073</v>
      </c>
      <c r="AY18" s="21">
        <v>5230533</v>
      </c>
      <c r="BA18" s="21">
        <v>52305</v>
      </c>
      <c r="BB18" s="14"/>
      <c r="BC18" s="14"/>
      <c r="BD18" s="21">
        <v>237440</v>
      </c>
      <c r="BE18" s="21">
        <v>863220</v>
      </c>
      <c r="BF18" s="14"/>
      <c r="BG18" s="21">
        <v>1381152</v>
      </c>
      <c r="BH18" s="21">
        <v>196417</v>
      </c>
      <c r="BI18" s="14">
        <v>15</v>
      </c>
      <c r="BJ18" s="21">
        <v>2946255</v>
      </c>
      <c r="BK18" s="21">
        <v>135311</v>
      </c>
      <c r="BL18" s="14">
        <v>15</v>
      </c>
      <c r="BM18" s="21">
        <v>2029665</v>
      </c>
      <c r="BN18" s="21">
        <v>35746</v>
      </c>
      <c r="BO18" s="14"/>
      <c r="BP18" s="21">
        <f t="shared" si="1"/>
        <v>357460</v>
      </c>
      <c r="BQ18" s="21">
        <v>350712</v>
      </c>
      <c r="BR18" s="14"/>
      <c r="BS18" s="21">
        <v>526068</v>
      </c>
      <c r="BT18" s="21">
        <v>19000</v>
      </c>
      <c r="BU18" s="14"/>
      <c r="BV18" s="21">
        <v>1520000</v>
      </c>
      <c r="BW18" s="21">
        <v>24469</v>
      </c>
      <c r="BX18" s="14"/>
      <c r="BY18" s="21">
        <v>2936280</v>
      </c>
      <c r="BZ18" s="21">
        <v>43428641</v>
      </c>
      <c r="CA18" s="14"/>
      <c r="CB18" s="14"/>
    </row>
    <row r="19" spans="2:80" ht="15.75">
      <c r="B19" s="10"/>
      <c r="E19" s="11"/>
      <c r="G19" s="14"/>
      <c r="J19" s="14"/>
      <c r="M19" s="14"/>
      <c r="P19" s="14"/>
      <c r="S19" s="14"/>
      <c r="V19" s="14"/>
      <c r="Y19" s="14"/>
      <c r="AB19" s="14"/>
      <c r="AE19" s="14"/>
      <c r="AH19" s="14"/>
      <c r="AK19" s="14"/>
      <c r="AN19" s="14"/>
      <c r="AQ19" s="14"/>
      <c r="AT19" s="14"/>
      <c r="AW19" s="14"/>
      <c r="BB19" s="14"/>
      <c r="BC19" s="14"/>
      <c r="BF19" s="14"/>
      <c r="BI19" s="14"/>
      <c r="BL19" s="14"/>
      <c r="BO19" s="14"/>
      <c r="BP19" s="21">
        <f t="shared" si="1"/>
        <v>0</v>
      </c>
      <c r="BR19" s="14"/>
      <c r="BU19" s="14"/>
      <c r="BX19" s="14"/>
      <c r="CA19" s="14"/>
      <c r="CB19" s="14"/>
    </row>
    <row r="20" spans="1:80" ht="15.75">
      <c r="A20" s="33" t="s">
        <v>67</v>
      </c>
      <c r="B20" s="10" t="s">
        <v>17</v>
      </c>
      <c r="C20" s="11">
        <v>149863</v>
      </c>
      <c r="D20" s="12">
        <v>12.5</v>
      </c>
      <c r="E20" s="11">
        <v>1873288</v>
      </c>
      <c r="F20" s="21">
        <v>278530</v>
      </c>
      <c r="G20" s="14">
        <v>13.5</v>
      </c>
      <c r="H20" s="21">
        <v>3760155</v>
      </c>
      <c r="I20" s="21">
        <v>60800</v>
      </c>
      <c r="J20" s="14">
        <v>27.5</v>
      </c>
      <c r="K20" s="21">
        <v>1672000</v>
      </c>
      <c r="L20" s="21">
        <v>830416</v>
      </c>
      <c r="M20" s="14">
        <v>6.8</v>
      </c>
      <c r="N20" s="21">
        <v>5646829</v>
      </c>
      <c r="O20" s="21">
        <v>8463</v>
      </c>
      <c r="P20" s="14"/>
      <c r="Q20" s="21">
        <v>101556</v>
      </c>
      <c r="S20" s="14"/>
      <c r="U20" s="21">
        <v>74612</v>
      </c>
      <c r="V20" s="14"/>
      <c r="W20" s="21">
        <v>746120</v>
      </c>
      <c r="Y20" s="14"/>
      <c r="Z20" s="21">
        <v>84000</v>
      </c>
      <c r="AA20" s="21">
        <v>25583850</v>
      </c>
      <c r="AB20" s="14">
        <v>0.2</v>
      </c>
      <c r="AC20" s="21">
        <f>+AA20*AB20</f>
        <v>5116770</v>
      </c>
      <c r="AD20" s="21">
        <v>17248438</v>
      </c>
      <c r="AE20" s="14">
        <v>1.2</v>
      </c>
      <c r="AF20" s="21">
        <v>20698126</v>
      </c>
      <c r="AG20" s="21">
        <v>7539357</v>
      </c>
      <c r="AH20" s="14">
        <v>1.5</v>
      </c>
      <c r="AI20" s="21">
        <v>11309036</v>
      </c>
      <c r="AJ20" s="21">
        <v>249910</v>
      </c>
      <c r="AK20" s="14">
        <v>2</v>
      </c>
      <c r="AL20" s="21">
        <v>499820</v>
      </c>
      <c r="AM20" s="21">
        <v>546683</v>
      </c>
      <c r="AN20" s="14">
        <v>1.5</v>
      </c>
      <c r="AO20" s="21">
        <v>820025</v>
      </c>
      <c r="AP20" s="21">
        <v>3526093</v>
      </c>
      <c r="AQ20" s="14">
        <v>4.5</v>
      </c>
      <c r="AR20" s="21">
        <v>15867419</v>
      </c>
      <c r="AS20" s="21">
        <v>5210340</v>
      </c>
      <c r="AT20" s="14"/>
      <c r="AU20" s="21">
        <v>521034</v>
      </c>
      <c r="AV20" s="21">
        <v>17367800</v>
      </c>
      <c r="AW20" s="14"/>
      <c r="AX20" s="21">
        <v>521034</v>
      </c>
      <c r="AY20" s="21">
        <v>5210340</v>
      </c>
      <c r="BA20" s="21">
        <v>52103</v>
      </c>
      <c r="BB20" s="14"/>
      <c r="BC20" s="14"/>
      <c r="BD20" s="21">
        <v>173600</v>
      </c>
      <c r="BE20" s="21">
        <v>5809980</v>
      </c>
      <c r="BF20" s="14"/>
      <c r="BG20" s="21">
        <v>9295968</v>
      </c>
      <c r="BH20" s="21">
        <v>258450</v>
      </c>
      <c r="BI20" s="14">
        <v>23</v>
      </c>
      <c r="BJ20" s="21">
        <v>5944350</v>
      </c>
      <c r="BK20" s="21">
        <v>510260</v>
      </c>
      <c r="BL20" s="14">
        <v>23</v>
      </c>
      <c r="BM20" s="21">
        <v>11735980</v>
      </c>
      <c r="BN20" s="21">
        <v>140476</v>
      </c>
      <c r="BO20" s="14"/>
      <c r="BP20" s="21">
        <f t="shared" si="1"/>
        <v>1404760</v>
      </c>
      <c r="BQ20" s="21">
        <v>152474</v>
      </c>
      <c r="BR20" s="14"/>
      <c r="BS20" s="21">
        <v>228711</v>
      </c>
      <c r="BT20" s="21">
        <v>200000</v>
      </c>
      <c r="BU20" s="14"/>
      <c r="BV20" s="21">
        <v>16000000</v>
      </c>
      <c r="BW20" s="21">
        <v>11723</v>
      </c>
      <c r="BX20" s="14"/>
      <c r="BY20" s="21">
        <v>1406760</v>
      </c>
      <c r="BZ20" s="21">
        <v>211293211</v>
      </c>
      <c r="CA20" s="14"/>
      <c r="CB20" s="14"/>
    </row>
    <row r="21" spans="2:80" ht="15.75">
      <c r="B21" s="10"/>
      <c r="E21" s="11"/>
      <c r="G21" s="14"/>
      <c r="J21" s="14"/>
      <c r="M21" s="14"/>
      <c r="P21" s="14"/>
      <c r="S21" s="14"/>
      <c r="V21" s="14"/>
      <c r="Y21" s="14"/>
      <c r="AB21" s="14"/>
      <c r="AE21" s="14"/>
      <c r="AH21" s="14"/>
      <c r="AK21" s="14"/>
      <c r="AN21" s="14"/>
      <c r="AQ21" s="14"/>
      <c r="AT21" s="14"/>
      <c r="AW21" s="14"/>
      <c r="BB21" s="14"/>
      <c r="BC21" s="14"/>
      <c r="BF21" s="14"/>
      <c r="BI21" s="14"/>
      <c r="BL21" s="14"/>
      <c r="BO21" s="14"/>
      <c r="BP21" s="21">
        <f t="shared" si="1"/>
        <v>0</v>
      </c>
      <c r="BR21" s="14"/>
      <c r="BU21" s="14"/>
      <c r="BX21" s="14"/>
      <c r="CA21" s="14"/>
      <c r="CB21" s="14"/>
    </row>
    <row r="22" spans="1:80" ht="15.75">
      <c r="A22" s="33" t="s">
        <v>68</v>
      </c>
      <c r="B22" s="10" t="s">
        <v>18</v>
      </c>
      <c r="C22" s="11">
        <v>117306</v>
      </c>
      <c r="D22" s="12">
        <v>12</v>
      </c>
      <c r="E22" s="11">
        <v>1407672</v>
      </c>
      <c r="F22" s="21">
        <v>116974</v>
      </c>
      <c r="G22" s="14">
        <v>15</v>
      </c>
      <c r="H22" s="21">
        <v>1754610</v>
      </c>
      <c r="J22" s="14"/>
      <c r="L22" s="21">
        <v>368046</v>
      </c>
      <c r="M22" s="14">
        <v>5</v>
      </c>
      <c r="N22" s="21">
        <v>1840230</v>
      </c>
      <c r="O22" s="21">
        <v>724948</v>
      </c>
      <c r="P22" s="14"/>
      <c r="Q22" s="21">
        <v>8699376</v>
      </c>
      <c r="R22" s="21">
        <v>13900</v>
      </c>
      <c r="S22" s="14"/>
      <c r="T22" s="21">
        <v>1390000</v>
      </c>
      <c r="V22" s="14"/>
      <c r="Y22" s="14"/>
      <c r="Z22" s="21">
        <v>1113000</v>
      </c>
      <c r="AA22" s="21">
        <v>235586460</v>
      </c>
      <c r="AB22" s="14">
        <v>0.2</v>
      </c>
      <c r="AC22" s="21">
        <f>+AA22*AB22</f>
        <v>47117292</v>
      </c>
      <c r="AD22" s="21">
        <v>107275544</v>
      </c>
      <c r="AE22" s="14">
        <v>1.05</v>
      </c>
      <c r="AF22" s="21">
        <v>112639321</v>
      </c>
      <c r="AG22" s="21">
        <v>18547412</v>
      </c>
      <c r="AH22" s="14">
        <v>1.31</v>
      </c>
      <c r="AI22" s="21">
        <v>24297110</v>
      </c>
      <c r="AJ22" s="21">
        <v>1044270</v>
      </c>
      <c r="AK22" s="14">
        <v>1.8</v>
      </c>
      <c r="AL22" s="21">
        <v>1879686</v>
      </c>
      <c r="AM22" s="21">
        <v>3341656</v>
      </c>
      <c r="AN22" s="14">
        <v>1</v>
      </c>
      <c r="AO22" s="21">
        <v>3341656</v>
      </c>
      <c r="AP22" s="21">
        <v>13004080</v>
      </c>
      <c r="AQ22" s="14">
        <v>4.35</v>
      </c>
      <c r="AR22" s="21">
        <v>56567748</v>
      </c>
      <c r="AS22" s="21">
        <v>89112892</v>
      </c>
      <c r="AT22" s="14"/>
      <c r="AU22" s="21">
        <v>8911289</v>
      </c>
      <c r="AV22" s="21">
        <v>307844536</v>
      </c>
      <c r="AW22" s="14"/>
      <c r="AX22" s="21">
        <v>9235336</v>
      </c>
      <c r="AY22" s="21">
        <v>89112892</v>
      </c>
      <c r="BA22" s="21">
        <v>891129</v>
      </c>
      <c r="BB22" s="14"/>
      <c r="BC22" s="14"/>
      <c r="BD22" s="21">
        <v>4045280</v>
      </c>
      <c r="BE22" s="21">
        <v>33430920</v>
      </c>
      <c r="BF22" s="14"/>
      <c r="BG22" s="21">
        <v>53489472</v>
      </c>
      <c r="BH22" s="21">
        <v>3972728</v>
      </c>
      <c r="BI22" s="14">
        <v>16</v>
      </c>
      <c r="BJ22" s="21">
        <v>63563648</v>
      </c>
      <c r="BK22" s="21">
        <v>2870532</v>
      </c>
      <c r="BL22" s="14">
        <v>16</v>
      </c>
      <c r="BM22" s="21">
        <v>45928512</v>
      </c>
      <c r="BN22" s="21">
        <v>791924</v>
      </c>
      <c r="BO22" s="14"/>
      <c r="BP22" s="21">
        <f t="shared" si="1"/>
        <v>7919240</v>
      </c>
      <c r="BQ22" s="21">
        <v>3093587</v>
      </c>
      <c r="BR22" s="14"/>
      <c r="BS22" s="21">
        <v>4640380</v>
      </c>
      <c r="BT22" s="21">
        <v>25000</v>
      </c>
      <c r="BU22" s="14"/>
      <c r="BV22" s="21">
        <v>2000000</v>
      </c>
      <c r="BW22" s="21">
        <v>249305</v>
      </c>
      <c r="BX22" s="14"/>
      <c r="BY22" s="21">
        <v>29916600</v>
      </c>
      <c r="BZ22" s="21">
        <v>819457907</v>
      </c>
      <c r="CA22" s="14"/>
      <c r="CB22" s="14"/>
    </row>
    <row r="23" spans="1:80" ht="15.75">
      <c r="A23" s="33" t="s">
        <v>69</v>
      </c>
      <c r="B23" s="10" t="s">
        <v>19</v>
      </c>
      <c r="C23" s="11">
        <v>4270</v>
      </c>
      <c r="D23" s="12">
        <v>11.5</v>
      </c>
      <c r="E23" s="11">
        <v>49105</v>
      </c>
      <c r="F23" s="21">
        <v>7680</v>
      </c>
      <c r="G23" s="14">
        <v>14.8</v>
      </c>
      <c r="H23" s="21">
        <v>113664</v>
      </c>
      <c r="J23" s="14"/>
      <c r="L23" s="21">
        <v>26377</v>
      </c>
      <c r="M23" s="14">
        <v>5</v>
      </c>
      <c r="N23" s="21">
        <v>131885</v>
      </c>
      <c r="O23" s="21">
        <v>8343</v>
      </c>
      <c r="P23" s="14"/>
      <c r="Q23" s="21">
        <v>100116</v>
      </c>
      <c r="S23" s="14"/>
      <c r="V23" s="14"/>
      <c r="Y23" s="14"/>
      <c r="Z23" s="21">
        <v>42000</v>
      </c>
      <c r="AA23" s="21">
        <v>17471243</v>
      </c>
      <c r="AB23" s="14">
        <v>0.2</v>
      </c>
      <c r="AC23" s="21">
        <f>+AA23*AB23</f>
        <v>3494248.6</v>
      </c>
      <c r="AD23" s="21">
        <v>8659890</v>
      </c>
      <c r="AE23" s="14">
        <v>1.28</v>
      </c>
      <c r="AF23" s="21">
        <v>11084659</v>
      </c>
      <c r="AG23" s="21">
        <v>1360774</v>
      </c>
      <c r="AH23" s="14">
        <v>1.6</v>
      </c>
      <c r="AI23" s="21">
        <v>2177238</v>
      </c>
      <c r="AJ23" s="21">
        <v>98080</v>
      </c>
      <c r="AK23" s="14">
        <v>1.8</v>
      </c>
      <c r="AL23" s="21">
        <v>176544</v>
      </c>
      <c r="AM23" s="21">
        <v>333490</v>
      </c>
      <c r="AN23" s="14">
        <v>0.8</v>
      </c>
      <c r="AO23" s="21">
        <v>266792</v>
      </c>
      <c r="AP23" s="21">
        <v>1638434</v>
      </c>
      <c r="AQ23" s="14">
        <v>3.75</v>
      </c>
      <c r="AR23" s="21">
        <v>6144128</v>
      </c>
      <c r="AS23" s="21">
        <v>17049825</v>
      </c>
      <c r="AT23" s="14"/>
      <c r="AU23" s="21">
        <v>1704983</v>
      </c>
      <c r="AV23" s="21">
        <v>57707100</v>
      </c>
      <c r="AW23" s="14"/>
      <c r="AX23" s="21">
        <v>1731213</v>
      </c>
      <c r="AY23" s="21">
        <v>17049825</v>
      </c>
      <c r="BA23" s="21">
        <v>170498</v>
      </c>
      <c r="BB23" s="14"/>
      <c r="BC23" s="14"/>
      <c r="BD23" s="21">
        <v>654880</v>
      </c>
      <c r="BE23" s="21">
        <v>3364770</v>
      </c>
      <c r="BF23" s="14"/>
      <c r="BG23" s="21">
        <v>5383632</v>
      </c>
      <c r="BH23" s="21">
        <v>369340</v>
      </c>
      <c r="BI23" s="14">
        <v>15</v>
      </c>
      <c r="BJ23" s="21">
        <v>5540100</v>
      </c>
      <c r="BK23" s="21">
        <v>285219</v>
      </c>
      <c r="BL23" s="14">
        <v>15</v>
      </c>
      <c r="BM23" s="21">
        <v>4278285</v>
      </c>
      <c r="BN23" s="21">
        <v>78782</v>
      </c>
      <c r="BO23" s="14"/>
      <c r="BP23" s="21">
        <f t="shared" si="1"/>
        <v>787820</v>
      </c>
      <c r="BQ23" s="21">
        <v>96145</v>
      </c>
      <c r="BR23" s="14"/>
      <c r="BS23" s="21">
        <v>144218</v>
      </c>
      <c r="BT23" s="21">
        <v>2000</v>
      </c>
      <c r="BU23" s="14"/>
      <c r="BV23" s="21">
        <v>160000</v>
      </c>
      <c r="BW23" s="21">
        <v>5840</v>
      </c>
      <c r="BX23" s="14"/>
      <c r="BY23" s="21">
        <v>700800</v>
      </c>
      <c r="BZ23" s="21">
        <v>75322006</v>
      </c>
      <c r="CA23" s="14"/>
      <c r="CB23" s="14"/>
    </row>
    <row r="24" spans="1:80" ht="15.75">
      <c r="A24" s="33" t="s">
        <v>70</v>
      </c>
      <c r="B24" s="10" t="s">
        <v>20</v>
      </c>
      <c r="C24" s="11">
        <v>22283</v>
      </c>
      <c r="D24" s="12">
        <v>12</v>
      </c>
      <c r="E24" s="11">
        <v>267396</v>
      </c>
      <c r="F24" s="21">
        <v>60627</v>
      </c>
      <c r="G24" s="14">
        <v>14.6</v>
      </c>
      <c r="H24" s="21">
        <v>895154</v>
      </c>
      <c r="J24" s="14"/>
      <c r="M24" s="14"/>
      <c r="O24" s="21">
        <v>65720</v>
      </c>
      <c r="P24" s="14"/>
      <c r="Q24" s="21">
        <v>788640</v>
      </c>
      <c r="R24" s="21">
        <v>100</v>
      </c>
      <c r="S24" s="14"/>
      <c r="T24" s="21">
        <v>10000</v>
      </c>
      <c r="U24" s="21">
        <v>2500</v>
      </c>
      <c r="V24" s="14"/>
      <c r="W24" s="21">
        <v>25000</v>
      </c>
      <c r="Y24" s="14"/>
      <c r="Z24" s="21">
        <v>42000</v>
      </c>
      <c r="AA24" s="21">
        <v>39815468</v>
      </c>
      <c r="AB24" s="14">
        <v>0.2</v>
      </c>
      <c r="AC24" s="21">
        <f>+AA24*AB24</f>
        <v>7963093.600000001</v>
      </c>
      <c r="AD24" s="21">
        <v>31955708</v>
      </c>
      <c r="AE24" s="14">
        <v>0.95</v>
      </c>
      <c r="AF24" s="21">
        <v>30357923</v>
      </c>
      <c r="AG24" s="21">
        <v>3347044</v>
      </c>
      <c r="AH24" s="14">
        <v>1.2</v>
      </c>
      <c r="AI24" s="21">
        <v>4016453</v>
      </c>
      <c r="AJ24" s="21">
        <v>356380</v>
      </c>
      <c r="AK24" s="14">
        <v>1.8</v>
      </c>
      <c r="AL24" s="21">
        <v>641484</v>
      </c>
      <c r="AM24" s="21">
        <v>1336425</v>
      </c>
      <c r="AN24" s="14">
        <v>0.75</v>
      </c>
      <c r="AO24" s="21">
        <v>1002318</v>
      </c>
      <c r="AP24" s="21">
        <v>1270850</v>
      </c>
      <c r="AQ24" s="14">
        <v>3.6</v>
      </c>
      <c r="AR24" s="21">
        <v>4575060</v>
      </c>
      <c r="AS24" s="21">
        <v>44330682</v>
      </c>
      <c r="AT24" s="14"/>
      <c r="AU24" s="21">
        <v>4433068</v>
      </c>
      <c r="AV24" s="21">
        <v>153142356</v>
      </c>
      <c r="AW24" s="14"/>
      <c r="AX24" s="21">
        <v>4594271</v>
      </c>
      <c r="AY24" s="21">
        <v>44330682</v>
      </c>
      <c r="BA24" s="21">
        <v>443307</v>
      </c>
      <c r="BB24" s="14"/>
      <c r="BC24" s="14"/>
      <c r="BD24" s="21">
        <v>2012480</v>
      </c>
      <c r="BE24" s="21">
        <v>7987530</v>
      </c>
      <c r="BF24" s="14"/>
      <c r="BG24" s="21">
        <v>12780048</v>
      </c>
      <c r="BH24" s="21">
        <v>721716</v>
      </c>
      <c r="BI24" s="14">
        <v>12</v>
      </c>
      <c r="BJ24" s="21">
        <v>8660592</v>
      </c>
      <c r="BK24" s="21">
        <v>834800</v>
      </c>
      <c r="BL24" s="14">
        <v>12</v>
      </c>
      <c r="BM24" s="21">
        <v>10015600</v>
      </c>
      <c r="BN24" s="21">
        <v>226450</v>
      </c>
      <c r="BO24" s="14"/>
      <c r="BP24" s="21">
        <f t="shared" si="1"/>
        <v>2264500</v>
      </c>
      <c r="BQ24" s="21">
        <v>665161</v>
      </c>
      <c r="BR24" s="14"/>
      <c r="BS24" s="21">
        <v>997742</v>
      </c>
      <c r="BT24" s="21">
        <v>500</v>
      </c>
      <c r="BU24" s="14"/>
      <c r="BV24" s="21">
        <v>40000</v>
      </c>
      <c r="BW24" s="21">
        <v>56915</v>
      </c>
      <c r="BX24" s="14"/>
      <c r="BY24" s="21">
        <v>6829800</v>
      </c>
      <c r="BZ24" s="21">
        <v>142550920</v>
      </c>
      <c r="CA24" s="14"/>
      <c r="CB24" s="14"/>
    </row>
    <row r="25" spans="1:80" ht="15.75">
      <c r="A25" s="33" t="s">
        <v>71</v>
      </c>
      <c r="B25" s="10" t="s">
        <v>21</v>
      </c>
      <c r="C25" s="11">
        <v>3312</v>
      </c>
      <c r="D25" s="12">
        <v>12</v>
      </c>
      <c r="E25" s="11">
        <v>39744</v>
      </c>
      <c r="F25" s="21">
        <v>3657</v>
      </c>
      <c r="G25" s="14">
        <v>14</v>
      </c>
      <c r="H25" s="21">
        <v>51198</v>
      </c>
      <c r="J25" s="14"/>
      <c r="L25" s="21">
        <v>35880</v>
      </c>
      <c r="M25" s="14">
        <v>5.1</v>
      </c>
      <c r="N25" s="21">
        <v>182988</v>
      </c>
      <c r="O25" s="21">
        <v>12772</v>
      </c>
      <c r="P25" s="14"/>
      <c r="Q25" s="21">
        <v>153264</v>
      </c>
      <c r="S25" s="14"/>
      <c r="U25" s="21">
        <v>8900</v>
      </c>
      <c r="V25" s="14"/>
      <c r="W25" s="21">
        <v>89000</v>
      </c>
      <c r="Y25" s="14"/>
      <c r="Z25" s="21">
        <v>21000</v>
      </c>
      <c r="AA25" s="21">
        <v>23143325</v>
      </c>
      <c r="AB25" s="14">
        <v>0.2</v>
      </c>
      <c r="AC25" s="21">
        <f>+AA25*AB25</f>
        <v>4628665</v>
      </c>
      <c r="AD25" s="21">
        <v>18115144</v>
      </c>
      <c r="AE25" s="14">
        <v>1</v>
      </c>
      <c r="AF25" s="21">
        <v>18115144</v>
      </c>
      <c r="AG25" s="21">
        <v>1768050</v>
      </c>
      <c r="AH25" s="14">
        <v>1.25</v>
      </c>
      <c r="AI25" s="21">
        <v>2210062</v>
      </c>
      <c r="AJ25" s="21">
        <v>215500</v>
      </c>
      <c r="AK25" s="14">
        <v>1.8</v>
      </c>
      <c r="AL25" s="21">
        <v>387900</v>
      </c>
      <c r="AM25" s="21">
        <v>689602</v>
      </c>
      <c r="AN25" s="14">
        <v>1</v>
      </c>
      <c r="AO25" s="21">
        <v>689602</v>
      </c>
      <c r="AP25" s="21">
        <v>635689</v>
      </c>
      <c r="AQ25" s="14">
        <v>3.6</v>
      </c>
      <c r="AR25" s="21">
        <v>2288480</v>
      </c>
      <c r="AS25" s="21">
        <v>17879675</v>
      </c>
      <c r="AT25" s="14"/>
      <c r="AU25" s="21">
        <v>1787968</v>
      </c>
      <c r="AV25" s="21">
        <v>61766150</v>
      </c>
      <c r="AW25" s="14"/>
      <c r="AX25" s="21">
        <v>1852985</v>
      </c>
      <c r="AY25" s="24">
        <v>17879675</v>
      </c>
      <c r="BA25" s="24">
        <v>178797</v>
      </c>
      <c r="BB25" s="14"/>
      <c r="BC25" s="14"/>
      <c r="BD25" s="21">
        <v>811680</v>
      </c>
      <c r="BE25" s="21">
        <v>3991380</v>
      </c>
      <c r="BF25" s="14"/>
      <c r="BG25" s="21">
        <v>6386208</v>
      </c>
      <c r="BH25" s="21">
        <v>587268</v>
      </c>
      <c r="BI25" s="14">
        <v>12</v>
      </c>
      <c r="BJ25" s="21">
        <v>7047216</v>
      </c>
      <c r="BK25" s="21">
        <v>475957</v>
      </c>
      <c r="BL25" s="14">
        <v>12</v>
      </c>
      <c r="BM25" s="21">
        <v>5711484</v>
      </c>
      <c r="BN25" s="21">
        <v>127859</v>
      </c>
      <c r="BO25" s="14"/>
      <c r="BP25" s="21">
        <f t="shared" si="1"/>
        <v>1278590</v>
      </c>
      <c r="BQ25" s="21">
        <v>308650</v>
      </c>
      <c r="BR25" s="14"/>
      <c r="BS25" s="21">
        <v>462975</v>
      </c>
      <c r="BT25" s="21">
        <v>25000</v>
      </c>
      <c r="BU25" s="14"/>
      <c r="BV25" s="21">
        <v>2000000</v>
      </c>
      <c r="BW25" s="21">
        <v>26394</v>
      </c>
      <c r="BX25" s="14"/>
      <c r="BY25" s="21">
        <v>3167280</v>
      </c>
      <c r="BZ25" s="21">
        <v>85097170</v>
      </c>
      <c r="CA25" s="14"/>
      <c r="CB25" s="14"/>
    </row>
    <row r="26" spans="2:80" ht="15.75">
      <c r="B26" s="1"/>
      <c r="C26" s="11"/>
      <c r="D26" s="12"/>
      <c r="E26" s="11"/>
      <c r="G26" s="14"/>
      <c r="J26" s="14"/>
      <c r="M26" s="14"/>
      <c r="P26" s="14"/>
      <c r="S26" s="14"/>
      <c r="V26" s="14"/>
      <c r="Y26" s="14"/>
      <c r="AB26" s="14"/>
      <c r="AE26" s="14"/>
      <c r="AH26" s="14"/>
      <c r="AK26" s="14"/>
      <c r="AN26" s="14"/>
      <c r="AQ26" s="14"/>
      <c r="AT26" s="14"/>
      <c r="AW26" s="14"/>
      <c r="BB26" s="14"/>
      <c r="BC26" s="14"/>
      <c r="BF26" s="14"/>
      <c r="BI26" s="14"/>
      <c r="BL26" s="14"/>
      <c r="BO26" s="14"/>
      <c r="BR26" s="14"/>
      <c r="BU26" s="14"/>
      <c r="BX26" s="14"/>
      <c r="CA26" s="14"/>
      <c r="CB26" s="14"/>
    </row>
    <row r="27" spans="1:78" s="15" customFormat="1" ht="15.75">
      <c r="A27" s="30"/>
      <c r="B27" s="16" t="s">
        <v>22</v>
      </c>
      <c r="C27" s="4">
        <v>828240</v>
      </c>
      <c r="D27" s="17">
        <v>13.58</v>
      </c>
      <c r="E27" s="4">
        <v>11245217</v>
      </c>
      <c r="F27" s="22">
        <v>916377</v>
      </c>
      <c r="G27" s="15">
        <v>14.42</v>
      </c>
      <c r="H27" s="22">
        <v>13212112</v>
      </c>
      <c r="I27" s="22">
        <v>127700</v>
      </c>
      <c r="J27" s="15">
        <v>26.85</v>
      </c>
      <c r="K27" s="22">
        <v>3428800</v>
      </c>
      <c r="L27" s="22">
        <v>2098848</v>
      </c>
      <c r="M27" s="15">
        <v>6.1</v>
      </c>
      <c r="N27" s="22">
        <v>12800739</v>
      </c>
      <c r="O27" s="22">
        <v>934926</v>
      </c>
      <c r="Q27" s="22">
        <v>11219112</v>
      </c>
      <c r="R27" s="22">
        <v>90000</v>
      </c>
      <c r="T27" s="22">
        <v>9000000</v>
      </c>
      <c r="U27" s="22">
        <v>161195</v>
      </c>
      <c r="W27" s="22">
        <v>1611950</v>
      </c>
      <c r="X27" s="22"/>
      <c r="Z27" s="22">
        <v>2100000</v>
      </c>
      <c r="AA27" s="22">
        <v>677169000</v>
      </c>
      <c r="AB27" s="14">
        <v>0.2</v>
      </c>
      <c r="AC27" s="21">
        <f>+AA27*AB27</f>
        <v>135433800</v>
      </c>
      <c r="AD27" s="22">
        <v>364781093</v>
      </c>
      <c r="AE27" s="15">
        <v>1.17</v>
      </c>
      <c r="AF27" s="25">
        <v>427021895</v>
      </c>
      <c r="AG27" s="22">
        <v>75356855</v>
      </c>
      <c r="AH27" s="27"/>
      <c r="AI27" s="22">
        <v>120474855</v>
      </c>
      <c r="AJ27" s="22">
        <v>5204250</v>
      </c>
      <c r="AK27" s="15">
        <v>2.42</v>
      </c>
      <c r="AL27" s="22">
        <v>12583574</v>
      </c>
      <c r="AM27" s="22">
        <v>13512046</v>
      </c>
      <c r="AN27" s="15">
        <v>1.26</v>
      </c>
      <c r="AO27" s="22">
        <v>17069159</v>
      </c>
      <c r="AP27" s="22">
        <v>26720232</v>
      </c>
      <c r="AQ27" s="15">
        <v>4.56</v>
      </c>
      <c r="AR27" s="22">
        <v>121742623</v>
      </c>
      <c r="AS27" s="22">
        <v>415225445</v>
      </c>
      <c r="AU27" s="22">
        <v>41522544</v>
      </c>
      <c r="AV27" s="22">
        <v>1411346209</v>
      </c>
      <c r="AX27" s="22">
        <v>42340386</v>
      </c>
      <c r="AY27" s="22">
        <v>409757216</v>
      </c>
      <c r="AZ27" s="22"/>
      <c r="BA27" s="22">
        <v>4097572</v>
      </c>
      <c r="BD27" s="22">
        <v>16000000</v>
      </c>
      <c r="BE27" s="22">
        <v>142944540</v>
      </c>
      <c r="BG27" s="22">
        <v>228711264</v>
      </c>
      <c r="BH27" s="22">
        <v>10231674</v>
      </c>
      <c r="BI27" s="15">
        <v>16</v>
      </c>
      <c r="BJ27" s="22">
        <v>162139200</v>
      </c>
      <c r="BK27" s="22">
        <v>10323530</v>
      </c>
      <c r="BL27" s="15">
        <v>16</v>
      </c>
      <c r="BM27" s="22">
        <v>162756335</v>
      </c>
      <c r="BN27" s="22">
        <v>2898464</v>
      </c>
      <c r="BP27" s="22">
        <f t="shared" si="1"/>
        <v>28984640</v>
      </c>
      <c r="BQ27" s="22">
        <v>7246746</v>
      </c>
      <c r="BS27" s="22">
        <v>10870119</v>
      </c>
      <c r="BT27" s="22">
        <v>329000</v>
      </c>
      <c r="BV27" s="22">
        <v>26320000</v>
      </c>
      <c r="BW27" s="22">
        <v>508718</v>
      </c>
      <c r="BY27" s="22">
        <v>61046160</v>
      </c>
      <c r="BZ27" s="22">
        <v>2812538866</v>
      </c>
    </row>
    <row r="28" spans="1:78" s="21" customFormat="1" ht="15.75">
      <c r="A28" s="31"/>
      <c r="B28" s="18" t="s">
        <v>23</v>
      </c>
      <c r="C28" s="11">
        <f>SUM(C5:C25)</f>
        <v>828240</v>
      </c>
      <c r="D28" s="19"/>
      <c r="E28" s="11">
        <f>SUM(E5:E25)</f>
        <v>11245217</v>
      </c>
      <c r="F28" s="11">
        <f>SUM(F5:F25)</f>
        <v>916377</v>
      </c>
      <c r="G28" s="14"/>
      <c r="H28" s="11">
        <f>SUM(H5:H25)</f>
        <v>13212112</v>
      </c>
      <c r="I28" s="11">
        <f>SUM(I5:I25)</f>
        <v>127700</v>
      </c>
      <c r="J28" s="14"/>
      <c r="K28" s="11">
        <f>SUM(K5:K25)</f>
        <v>3428800</v>
      </c>
      <c r="L28" s="21">
        <f>SUM(L5:L25)</f>
        <v>2098848</v>
      </c>
      <c r="N28" s="21">
        <f>SUM(N5:N25)</f>
        <v>12800739</v>
      </c>
      <c r="O28" s="21">
        <f>SUM(O5:O25)</f>
        <v>934926</v>
      </c>
      <c r="Q28" s="21">
        <f>SUM(Q5:Q25)</f>
        <v>11219112</v>
      </c>
      <c r="R28" s="21">
        <f>SUM(R5:R25)</f>
        <v>90000</v>
      </c>
      <c r="T28" s="21">
        <f>SUM(T5:T25)</f>
        <v>9000000</v>
      </c>
      <c r="U28" s="21">
        <f>SUM(U5:U25)</f>
        <v>161195</v>
      </c>
      <c r="W28" s="21">
        <f>SUM(W5:W25)</f>
        <v>1611950</v>
      </c>
      <c r="Z28" s="21">
        <f>SUM(Z5:Z25)</f>
        <v>2100000</v>
      </c>
      <c r="AA28" s="21">
        <f>SUM(AA5:AA25)</f>
        <v>677169000</v>
      </c>
      <c r="AB28" s="14">
        <v>0.2</v>
      </c>
      <c r="AC28" s="21">
        <f>+AA28*AB28</f>
        <v>135433800</v>
      </c>
      <c r="AD28" s="21">
        <f>SUM(AD5:AD25)</f>
        <v>364781093</v>
      </c>
      <c r="AF28" s="28">
        <f>SUM(AF5:AF25)</f>
        <v>427021895</v>
      </c>
      <c r="AG28" s="21">
        <f>SUM(AG5:AG25)</f>
        <v>75356855</v>
      </c>
      <c r="AI28" s="21">
        <f>SUM(AI5:AI25)</f>
        <v>120474855</v>
      </c>
      <c r="AJ28" s="21">
        <f>SUM(AJ5:AJ25)</f>
        <v>5204250</v>
      </c>
      <c r="AL28" s="21">
        <f>SUM(AL5:AL25)</f>
        <v>12583574</v>
      </c>
      <c r="AM28" s="21">
        <f>SUM(AM5:AM25)</f>
        <v>13412046</v>
      </c>
      <c r="AO28" s="21">
        <f>SUM(AO5:AO25)</f>
        <v>17069159</v>
      </c>
      <c r="AP28" s="21">
        <f>SUM(AP5:AP25)</f>
        <v>26720232</v>
      </c>
      <c r="AR28" s="21">
        <f>SUM(AR5:AR25)</f>
        <v>121742623</v>
      </c>
      <c r="AS28" s="21">
        <f>SUM(AS5:AS25)</f>
        <v>415225445</v>
      </c>
      <c r="AU28" s="21">
        <f>SUM(AU5:AU25)</f>
        <v>41522544</v>
      </c>
      <c r="AV28" s="21">
        <f>SUM(AV5:AV25)</f>
        <v>1411346209</v>
      </c>
      <c r="AX28" s="21">
        <f>SUM(AX5:AX25)</f>
        <v>42340386</v>
      </c>
      <c r="AY28" s="21">
        <f>SUM(AY5:AY25)</f>
        <v>409757216</v>
      </c>
      <c r="BA28" s="21">
        <f>SUM(BA5:BA25)</f>
        <v>4097572</v>
      </c>
      <c r="BD28" s="24">
        <f>SUM(BD5:BD25)</f>
        <v>15960000</v>
      </c>
      <c r="BE28" s="21">
        <f>SUM(BE5:BE25)</f>
        <v>142944540</v>
      </c>
      <c r="BG28" s="21">
        <f>SUM(BG5:BG25)</f>
        <v>228711264</v>
      </c>
      <c r="BH28" s="21">
        <f>SUM(BH5:BH25)</f>
        <v>10231674</v>
      </c>
      <c r="BJ28" s="21">
        <f>SUM(BJ5:BJ25)</f>
        <v>162139200</v>
      </c>
      <c r="BK28" s="21">
        <f>SUM(BK5:BK25)</f>
        <v>10323530</v>
      </c>
      <c r="BM28" s="21">
        <f>SUM(BM5:BM25)</f>
        <v>162756335</v>
      </c>
      <c r="BN28" s="21">
        <f>SUM(BN5:BN25)</f>
        <v>2898464</v>
      </c>
      <c r="BP28" s="21">
        <f t="shared" si="1"/>
        <v>28984640</v>
      </c>
      <c r="BQ28" s="21">
        <f>SUM(BQ5:BQ25)</f>
        <v>7246747</v>
      </c>
      <c r="BS28" s="21">
        <f>SUM(BS5:BS25)</f>
        <v>10870119</v>
      </c>
      <c r="BT28" s="21">
        <f>SUM(BT5:BT25)</f>
        <v>329000</v>
      </c>
      <c r="BV28" s="21">
        <f>SUM(BV10:BV25)</f>
        <v>26320000</v>
      </c>
      <c r="BW28" s="21">
        <f>SUM(BW5:BW25)</f>
        <v>508718</v>
      </c>
      <c r="BY28" s="21">
        <f>SUM(BY5:BY25)</f>
        <v>61046160</v>
      </c>
      <c r="BZ28" s="24">
        <f>SUM(BZ5:BZ25)</f>
        <v>2812238866</v>
      </c>
    </row>
    <row r="29" spans="1:28" s="21" customFormat="1" ht="15.75">
      <c r="A29" s="31"/>
      <c r="B29" s="18"/>
      <c r="C29" s="11"/>
      <c r="D29" s="19"/>
      <c r="E29" s="11"/>
      <c r="G29" s="14"/>
      <c r="J29" s="14"/>
      <c r="AB29" s="14"/>
    </row>
    <row r="30" spans="1:78" s="22" customFormat="1" ht="15.75">
      <c r="A30" s="32"/>
      <c r="B30" s="16" t="s">
        <v>24</v>
      </c>
      <c r="C30" s="4">
        <v>678377</v>
      </c>
      <c r="D30" s="17">
        <v>13.81</v>
      </c>
      <c r="E30" s="4">
        <v>9371929</v>
      </c>
      <c r="F30" s="22">
        <v>637847</v>
      </c>
      <c r="G30" s="15">
        <v>14.82</v>
      </c>
      <c r="H30" s="22">
        <v>9451957</v>
      </c>
      <c r="I30" s="22">
        <v>66900</v>
      </c>
      <c r="J30" s="15">
        <v>26.26</v>
      </c>
      <c r="K30" s="22">
        <v>1756800</v>
      </c>
      <c r="L30" s="22">
        <v>1268432</v>
      </c>
      <c r="M30" s="15">
        <v>5.64</v>
      </c>
      <c r="N30" s="22">
        <v>7153910</v>
      </c>
      <c r="O30" s="22">
        <v>926463</v>
      </c>
      <c r="Q30" s="22">
        <v>11117556</v>
      </c>
      <c r="R30" s="22">
        <v>90000</v>
      </c>
      <c r="T30" s="22">
        <v>9000000</v>
      </c>
      <c r="U30" s="22">
        <v>86583</v>
      </c>
      <c r="W30" s="22">
        <v>865830</v>
      </c>
      <c r="Z30" s="22">
        <v>2016000</v>
      </c>
      <c r="AA30" s="22">
        <v>651585150</v>
      </c>
      <c r="AB30" s="14">
        <v>0.2</v>
      </c>
      <c r="AC30" s="21">
        <f>+AA30*AB30</f>
        <v>130317030</v>
      </c>
      <c r="AD30" s="22">
        <v>347532655</v>
      </c>
      <c r="AE30" s="15">
        <v>1.18</v>
      </c>
      <c r="AF30" s="25">
        <v>406323769</v>
      </c>
      <c r="AG30" s="22">
        <v>67817498</v>
      </c>
      <c r="AH30" s="26"/>
      <c r="AI30" s="22">
        <v>109165819</v>
      </c>
      <c r="AJ30" s="22">
        <v>4954340</v>
      </c>
      <c r="AK30" s="15">
        <v>2.44</v>
      </c>
      <c r="AL30" s="22">
        <v>12083754</v>
      </c>
      <c r="AM30" s="22">
        <v>12965363</v>
      </c>
      <c r="AN30" s="15">
        <v>1.25</v>
      </c>
      <c r="AO30" s="22">
        <v>16249134</v>
      </c>
      <c r="AP30" s="22">
        <v>23194139</v>
      </c>
      <c r="AQ30" s="15">
        <v>4.56</v>
      </c>
      <c r="AR30" s="22">
        <v>105875204</v>
      </c>
      <c r="AS30" s="22">
        <v>410015105</v>
      </c>
      <c r="AU30" s="22">
        <v>41001510</v>
      </c>
      <c r="AV30" s="22">
        <v>1393978409</v>
      </c>
      <c r="AX30" s="22">
        <v>41819352</v>
      </c>
      <c r="AY30" s="22">
        <v>404546876</v>
      </c>
      <c r="BA30" s="22">
        <v>4045469</v>
      </c>
      <c r="BD30" s="22">
        <v>15826400</v>
      </c>
      <c r="BE30" s="22">
        <v>137134560</v>
      </c>
      <c r="BG30" s="22">
        <v>219415296</v>
      </c>
      <c r="BH30" s="22">
        <v>9973224</v>
      </c>
      <c r="BI30" s="15">
        <v>15.6</v>
      </c>
      <c r="BJ30" s="22">
        <v>156194850</v>
      </c>
      <c r="BK30" s="22">
        <v>9813270</v>
      </c>
      <c r="BL30" s="15">
        <v>15.4</v>
      </c>
      <c r="BM30" s="22">
        <v>151020355</v>
      </c>
      <c r="BN30" s="22">
        <v>2757988</v>
      </c>
      <c r="BP30" s="22">
        <f t="shared" si="1"/>
        <v>27579880</v>
      </c>
      <c r="BQ30" s="22">
        <v>7094272</v>
      </c>
      <c r="BS30" s="22">
        <v>10641408</v>
      </c>
      <c r="BT30" s="22">
        <v>129000</v>
      </c>
      <c r="BV30" s="22">
        <v>10320000</v>
      </c>
      <c r="BW30" s="22">
        <v>496995</v>
      </c>
      <c r="BY30" s="22">
        <v>59639400</v>
      </c>
      <c r="BZ30" s="22">
        <v>2601245655</v>
      </c>
    </row>
    <row r="31" spans="1:77" s="21" customFormat="1" ht="15.75">
      <c r="A31" s="31"/>
      <c r="B31" s="18" t="s">
        <v>23</v>
      </c>
      <c r="C31" s="11">
        <f>828240-C20</f>
        <v>678377</v>
      </c>
      <c r="D31" s="20"/>
      <c r="E31" s="11">
        <f>11245217-E20</f>
        <v>9371929</v>
      </c>
      <c r="F31" s="21">
        <f>916377-F20</f>
        <v>637847</v>
      </c>
      <c r="G31" s="14"/>
      <c r="H31" s="21">
        <f>13212112-H20</f>
        <v>9451957</v>
      </c>
      <c r="I31" s="21">
        <f>127700-I20</f>
        <v>66900</v>
      </c>
      <c r="J31" s="14"/>
      <c r="K31" s="21">
        <f>3428800-K20</f>
        <v>1756800</v>
      </c>
      <c r="L31" s="21">
        <f>2098848-L20</f>
        <v>1268432</v>
      </c>
      <c r="N31" s="21">
        <f>12800739-N20</f>
        <v>7153910</v>
      </c>
      <c r="O31" s="21">
        <f>934926-O20</f>
        <v>926463</v>
      </c>
      <c r="Q31" s="21">
        <f>11219112-Q20</f>
        <v>11117556</v>
      </c>
      <c r="R31" s="21">
        <v>90000</v>
      </c>
      <c r="T31" s="21">
        <v>9000000</v>
      </c>
      <c r="U31" s="21">
        <f>161195-U20</f>
        <v>86583</v>
      </c>
      <c r="W31" s="21">
        <f>1611950-W20</f>
        <v>865830</v>
      </c>
      <c r="Z31" s="21">
        <f>2100000-Z20</f>
        <v>2016000</v>
      </c>
      <c r="AA31" s="21">
        <f>677169000-AA20</f>
        <v>651585150</v>
      </c>
      <c r="AB31" s="14">
        <v>0.2</v>
      </c>
      <c r="AC31" s="21">
        <f>+AA31*AB31</f>
        <v>130317030</v>
      </c>
      <c r="AD31" s="21">
        <f>364781093-AD20</f>
        <v>347532655</v>
      </c>
      <c r="AF31" s="24">
        <f>429313095.75-AF20</f>
        <v>408614969.75</v>
      </c>
      <c r="AG31" s="21">
        <f>75356855-AG20</f>
        <v>67817498</v>
      </c>
      <c r="AI31" s="21">
        <f>120474855-AI20</f>
        <v>109165819</v>
      </c>
      <c r="AJ31" s="21">
        <f>5204250-AJ20</f>
        <v>4954340</v>
      </c>
      <c r="AL31" s="21">
        <f>12583574-AL20</f>
        <v>12083754</v>
      </c>
      <c r="AM31" s="21">
        <f>13412046-AM20</f>
        <v>12865363</v>
      </c>
      <c r="AO31" s="21">
        <f>17069159-AO20</f>
        <v>16249134</v>
      </c>
      <c r="AP31" s="21">
        <f>26720232-AP20</f>
        <v>23194139</v>
      </c>
      <c r="AR31" s="21">
        <f>121742623-AR20</f>
        <v>105875204</v>
      </c>
      <c r="AS31" s="21">
        <f>415225445-AS20</f>
        <v>410015105</v>
      </c>
      <c r="AU31" s="21">
        <f>41522544-AU20</f>
        <v>41001510</v>
      </c>
      <c r="AV31" s="21">
        <f>1411346209-AV20</f>
        <v>1393978409</v>
      </c>
      <c r="AX31" s="21">
        <f>42340386-AX20</f>
        <v>41819352</v>
      </c>
      <c r="AY31" s="21">
        <f>409757216-AY20</f>
        <v>404546876</v>
      </c>
      <c r="BA31" s="21">
        <f>4097572-BA20</f>
        <v>4045469</v>
      </c>
      <c r="BE31" s="21">
        <f>142944540-BE20</f>
        <v>137134560</v>
      </c>
      <c r="BG31" s="21">
        <f>228711264-BG20</f>
        <v>219415296</v>
      </c>
      <c r="BH31" s="21">
        <f>10231674-BH20</f>
        <v>9973224</v>
      </c>
      <c r="BJ31" s="21">
        <f>162139200-BJ20</f>
        <v>156194850</v>
      </c>
      <c r="BK31" s="21">
        <f>10323530-BK20</f>
        <v>9813270</v>
      </c>
      <c r="BM31" s="21">
        <f>162756335-BM20</f>
        <v>151020355</v>
      </c>
      <c r="BN31" s="21">
        <f>2898464-BN20</f>
        <v>2757988</v>
      </c>
      <c r="BP31" s="21">
        <f t="shared" si="1"/>
        <v>27579880</v>
      </c>
      <c r="BQ31" s="21">
        <f>7246747-BQ20</f>
        <v>7094273</v>
      </c>
      <c r="BS31" s="21">
        <f>10870119-BS20</f>
        <v>10641408</v>
      </c>
      <c r="BT31" s="21">
        <f>329000-BT20</f>
        <v>129000</v>
      </c>
      <c r="BV31" s="21">
        <f>26320000-BV20</f>
        <v>10320000</v>
      </c>
      <c r="BW31" s="21">
        <f>508718-BW20</f>
        <v>496995</v>
      </c>
      <c r="BY31" s="21">
        <f>61046160-BY20</f>
        <v>59639400</v>
      </c>
    </row>
    <row r="32" spans="2:80" ht="15.75">
      <c r="B32" s="1"/>
      <c r="C32" s="11"/>
      <c r="D32" s="2"/>
      <c r="E32" s="11"/>
      <c r="G32" s="14"/>
      <c r="J32" s="14"/>
      <c r="M32" s="14"/>
      <c r="P32" s="14"/>
      <c r="S32" s="14"/>
      <c r="V32" s="14"/>
      <c r="Y32" s="14"/>
      <c r="AB32" s="14"/>
      <c r="AE32" s="14"/>
      <c r="AH32" s="14"/>
      <c r="AK32" s="14"/>
      <c r="AN32" s="14"/>
      <c r="AQ32" s="14"/>
      <c r="AT32" s="14"/>
      <c r="AW32" s="14"/>
      <c r="BB32" s="14"/>
      <c r="BC32" s="14"/>
      <c r="BF32" s="14"/>
      <c r="BI32" s="14"/>
      <c r="BL32" s="14"/>
      <c r="BO32" s="14"/>
      <c r="BR32" s="14"/>
      <c r="BU32" s="14"/>
      <c r="BX32" s="14"/>
      <c r="CA32" s="14"/>
      <c r="CB32" s="14"/>
    </row>
    <row r="33" spans="7:80" ht="15.75">
      <c r="G33" s="14"/>
      <c r="J33" s="14"/>
      <c r="M33" s="14"/>
      <c r="P33" s="14"/>
      <c r="S33" s="14"/>
      <c r="V33" s="14"/>
      <c r="Y33" s="14"/>
      <c r="AB33" s="14"/>
      <c r="AE33" s="14"/>
      <c r="AH33" s="14"/>
      <c r="AK33" s="14"/>
      <c r="AN33" s="14"/>
      <c r="AQ33" s="14"/>
      <c r="AT33" s="14"/>
      <c r="AW33" s="14"/>
      <c r="BB33" s="14"/>
      <c r="BC33" s="14"/>
      <c r="BF33" s="14"/>
      <c r="BI33" s="14"/>
      <c r="BL33" s="14"/>
      <c r="BO33" s="14"/>
      <c r="BR33" s="14"/>
      <c r="BU33" s="14"/>
      <c r="BX33" s="14"/>
      <c r="CA33" s="14"/>
      <c r="CB33" s="14"/>
    </row>
    <row r="34" spans="7:80" ht="15.75">
      <c r="G34" s="14"/>
      <c r="J34" s="14"/>
      <c r="M34" s="14"/>
      <c r="P34" s="14"/>
      <c r="S34" s="14"/>
      <c r="V34" s="14"/>
      <c r="Y34" s="14"/>
      <c r="AB34" s="14"/>
      <c r="AE34" s="14"/>
      <c r="AH34" s="14"/>
      <c r="AK34" s="14"/>
      <c r="AN34" s="14"/>
      <c r="AQ34" s="14"/>
      <c r="AT34" s="14"/>
      <c r="AW34" s="14"/>
      <c r="BB34" s="14"/>
      <c r="BC34" s="14"/>
      <c r="BF34" s="14"/>
      <c r="BI34" s="14"/>
      <c r="BL34" s="14"/>
      <c r="BO34" s="14"/>
      <c r="BR34" s="14"/>
      <c r="BU34" s="14"/>
      <c r="BX34" s="14"/>
      <c r="CA34" s="14"/>
      <c r="CB34" s="14"/>
    </row>
    <row r="35" spans="7:80" ht="15.75">
      <c r="G35" s="14"/>
      <c r="J35" s="14"/>
      <c r="M35" s="14"/>
      <c r="P35" s="14"/>
      <c r="S35" s="14"/>
      <c r="V35" s="14"/>
      <c r="Y35" s="14"/>
      <c r="AB35" s="14"/>
      <c r="AE35" s="14"/>
      <c r="AH35" s="14"/>
      <c r="AK35" s="14"/>
      <c r="AN35" s="14"/>
      <c r="AQ35" s="14"/>
      <c r="AT35" s="14"/>
      <c r="AW35" s="14"/>
      <c r="BB35" s="14"/>
      <c r="BC35" s="14"/>
      <c r="BF35" s="14"/>
      <c r="BI35" s="14"/>
      <c r="BL35" s="14"/>
      <c r="BO35" s="14"/>
      <c r="BR35" s="14"/>
      <c r="BU35" s="14"/>
      <c r="BX35" s="14"/>
      <c r="CA35" s="14"/>
      <c r="CB35" s="14"/>
    </row>
    <row r="36" spans="7:80" ht="15.75">
      <c r="G36" s="14"/>
      <c r="J36" s="14"/>
      <c r="M36" s="14"/>
      <c r="P36" s="14"/>
      <c r="S36" s="14"/>
      <c r="V36" s="14"/>
      <c r="Y36" s="14"/>
      <c r="AB36" s="14"/>
      <c r="AE36" s="14"/>
      <c r="AH36" s="14"/>
      <c r="AK36" s="14"/>
      <c r="AN36" s="14"/>
      <c r="AQ36" s="14"/>
      <c r="AT36" s="14"/>
      <c r="AW36" s="14"/>
      <c r="BB36" s="14"/>
      <c r="BC36" s="14"/>
      <c r="BF36" s="14"/>
      <c r="BI36" s="14"/>
      <c r="BL36" s="14"/>
      <c r="BO36" s="14"/>
      <c r="BR36" s="14"/>
      <c r="BU36" s="14"/>
      <c r="BX36" s="14"/>
      <c r="CA36" s="14"/>
      <c r="CB36" s="14"/>
    </row>
    <row r="37" spans="7:80" ht="15.75">
      <c r="G37" s="14"/>
      <c r="J37" s="14"/>
      <c r="M37" s="14"/>
      <c r="P37" s="14"/>
      <c r="S37" s="14"/>
      <c r="V37" s="14"/>
      <c r="Y37" s="14"/>
      <c r="AB37" s="14"/>
      <c r="AE37" s="14"/>
      <c r="AH37" s="14"/>
      <c r="AK37" s="14"/>
      <c r="AN37" s="14"/>
      <c r="AQ37" s="14"/>
      <c r="AT37" s="14"/>
      <c r="AW37" s="14"/>
      <c r="BB37" s="14"/>
      <c r="BC37" s="14"/>
      <c r="BF37" s="14"/>
      <c r="BI37" s="14"/>
      <c r="BL37" s="14"/>
      <c r="BO37" s="14"/>
      <c r="BR37" s="14"/>
      <c r="BU37" s="14"/>
      <c r="BX37" s="14"/>
      <c r="CA37" s="14"/>
      <c r="CB37" s="14"/>
    </row>
    <row r="38" spans="7:80" ht="15.75">
      <c r="G38" s="14"/>
      <c r="J38" s="14"/>
      <c r="M38" s="14"/>
      <c r="P38" s="14"/>
      <c r="S38" s="14"/>
      <c r="V38" s="14"/>
      <c r="Y38" s="14"/>
      <c r="AB38" s="14"/>
      <c r="AE38" s="14"/>
      <c r="AH38" s="14"/>
      <c r="AK38" s="14"/>
      <c r="AN38" s="14"/>
      <c r="AQ38" s="14"/>
      <c r="AT38" s="14"/>
      <c r="AW38" s="14"/>
      <c r="BB38" s="14"/>
      <c r="BC38" s="14"/>
      <c r="BF38" s="14"/>
      <c r="BI38" s="14"/>
      <c r="BL38" s="14"/>
      <c r="BO38" s="14"/>
      <c r="BR38" s="14"/>
      <c r="BU38" s="14"/>
      <c r="BX38" s="14"/>
      <c r="CA38" s="14"/>
      <c r="CB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2007-10-16T13:24:30Z</dcterms:created>
  <dcterms:modified xsi:type="dcterms:W3CDTF">2017-09-02T15:43:08Z</dcterms:modified>
  <cp:category/>
  <cp:version/>
  <cp:contentType/>
  <cp:contentStatus/>
</cp:coreProperties>
</file>