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<sst xmlns="http://schemas.openxmlformats.org/spreadsheetml/2006/main" count="93" uniqueCount="77">
  <si>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Bányászat</t>
  </si>
  <si>
    <t>Arany</t>
  </si>
  <si>
    <t>Ezüst</t>
  </si>
  <si>
    <t>Quecksilber</t>
  </si>
  <si>
    <t>Réz</t>
  </si>
  <si>
    <t>Ólom</t>
  </si>
  <si>
    <t>Kén</t>
  </si>
  <si>
    <t>Kőszén</t>
  </si>
  <si>
    <t>Barnaszén</t>
  </si>
  <si>
    <t>Nyersvas</t>
  </si>
  <si>
    <t>Öntött</t>
  </si>
  <si>
    <t>Magas kohó</t>
  </si>
  <si>
    <t>Só</t>
  </si>
  <si>
    <t>Montan-</t>
  </si>
  <si>
    <t>Munkások</t>
  </si>
  <si>
    <t>1864 Verwaltungsjahr</t>
  </si>
  <si>
    <t>Münz-</t>
  </si>
  <si>
    <t>Schwefel</t>
  </si>
  <si>
    <t>nyersvas</t>
  </si>
  <si>
    <t>üzemen</t>
  </si>
  <si>
    <t>üzemben</t>
  </si>
  <si>
    <t>üzemhét</t>
  </si>
  <si>
    <t>Wiener</t>
  </si>
  <si>
    <t>érték</t>
  </si>
  <si>
    <t>Production</t>
  </si>
  <si>
    <t>pfund</t>
  </si>
  <si>
    <t>Centner</t>
  </si>
  <si>
    <t>kívül</t>
  </si>
  <si>
    <t>forint</t>
  </si>
  <si>
    <t>1000 forint</t>
  </si>
  <si>
    <t>sóval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</si>
  <si>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</si>
  <si>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</si>
  <si>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</si>
  <si>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</si>
  <si>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</si>
  <si>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</si>
  <si>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</si>
  <si>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</si>
  <si>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</si>
  <si>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</si>
  <si>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</si>
  <si>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</si>
  <si>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</si>
  <si>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</si>
  <si>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Velence</t>
  </si>
  <si>
    <t>Magyarország</t>
  </si>
  <si>
    <t>Horvát-Szlavónország</t>
  </si>
  <si>
    <t>Erdély</t>
  </si>
  <si>
    <t>Határőrvidék</t>
  </si>
  <si>
    <t>a kötetben:</t>
  </si>
  <si>
    <t>Steinsalz</t>
  </si>
  <si>
    <t>See-</t>
  </si>
  <si>
    <t>naptári év</t>
  </si>
  <si>
    <t>Sud-</t>
  </si>
  <si>
    <t>Industrial</t>
  </si>
  <si>
    <t>Birod</t>
  </si>
  <si>
    <t>összes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</si>
  <si>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</si>
  <si>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</si>
  <si>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</si>
  <si>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</si>
  <si>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</si>
  <si>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</si>
  <si>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</si>
  <si>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</si>
  <si>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</si>
  <si>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</si>
  <si>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</si>
  <si>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</si>
  <si>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</si>
  <si>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</si>
  <si>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C17</t>
  </si>
  <si>
    <t>M0</t>
  </si>
  <si>
    <t>M8</t>
  </si>
  <si>
    <t>M7</t>
  </si>
  <si>
    <t>M9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</si>
</sst>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39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0" fillId="34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N1" sqref="N1"/>
      <selection pane="bottomLeft" activeCell="A92" sqref="A92"/>
      <selection pane="bottomRight" activeCell="A26" sqref="A26"/>
    </sheetView>
  </sheetViews>
  <sheetFormatPr defaultColWidth="11.57421875" defaultRowHeight="12.75"/>
  <cols>
    <col min="1" max="1" width="11.57421875" style="9" customWidth="1"/>
    <col min="2" max="2" width="20.421875" style="0" customWidth="1"/>
    <col min="3" max="3" width="14.7109375" style="1" customWidth="1"/>
    <col min="4" max="4" width="16.140625" style="1" customWidth="1"/>
    <col min="5" max="12" width="11.57421875" style="2" customWidth="1"/>
    <col min="13" max="13" width="11.57421875" style="15" customWidth="1"/>
    <col min="14" max="20" width="11.57421875" style="2" customWidth="1"/>
    <col min="21" max="21" width="11.57421875" style="12" customWidth="1"/>
  </cols>
  <sheetData>
    <row r="1" spans="1:21" s="3" customFormat="1" ht="12.75">
      <c r="A1" s="8"/>
      <c r="B1" s="3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16" t="s">
        <v>11</v>
      </c>
      <c r="N1" s="16"/>
      <c r="O1" s="16"/>
      <c r="P1" s="16"/>
      <c r="Q1" s="5" t="s">
        <v>12</v>
      </c>
      <c r="R1" s="5" t="s">
        <v>12</v>
      </c>
      <c r="S1" s="5" t="s">
        <v>13</v>
      </c>
      <c r="T1" s="5" t="s">
        <v>13</v>
      </c>
      <c r="U1" s="10" t="s">
        <v>14</v>
      </c>
    </row>
    <row r="2" spans="1:21" s="3" customFormat="1" ht="12.75">
      <c r="A2" s="8"/>
      <c r="B2" s="3" t="s">
        <v>15</v>
      </c>
      <c r="C2" s="4" t="s">
        <v>16</v>
      </c>
      <c r="D2" s="4" t="s">
        <v>16</v>
      </c>
      <c r="E2" s="5"/>
      <c r="F2" s="5"/>
      <c r="G2" s="5"/>
      <c r="H2" s="5" t="s">
        <v>17</v>
      </c>
      <c r="I2" s="5"/>
      <c r="J2" s="5"/>
      <c r="K2" s="5"/>
      <c r="L2" s="5" t="s">
        <v>18</v>
      </c>
      <c r="M2" s="14" t="s">
        <v>57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24</v>
      </c>
      <c r="U2" s="10"/>
    </row>
    <row r="3" spans="1:21" s="3" customFormat="1" ht="12.75">
      <c r="A3" s="8"/>
      <c r="C3" s="4" t="s">
        <v>25</v>
      </c>
      <c r="D3" s="4" t="s">
        <v>25</v>
      </c>
      <c r="E3" s="5" t="s">
        <v>26</v>
      </c>
      <c r="F3" s="5" t="s">
        <v>26</v>
      </c>
      <c r="G3" s="5" t="s">
        <v>26</v>
      </c>
      <c r="H3" s="5" t="s">
        <v>26</v>
      </c>
      <c r="I3" s="5" t="s">
        <v>26</v>
      </c>
      <c r="J3" s="5" t="s">
        <v>26</v>
      </c>
      <c r="K3" s="5" t="s">
        <v>26</v>
      </c>
      <c r="L3" s="5" t="s">
        <v>26</v>
      </c>
      <c r="M3" s="14"/>
      <c r="N3" s="5" t="s">
        <v>27</v>
      </c>
      <c r="O3" s="5"/>
      <c r="P3" s="5"/>
      <c r="Q3" s="5" t="s">
        <v>26</v>
      </c>
      <c r="R3" s="5" t="s">
        <v>28</v>
      </c>
      <c r="S3" s="5" t="s">
        <v>29</v>
      </c>
      <c r="T3" s="5" t="s">
        <v>28</v>
      </c>
      <c r="U3" s="11" t="s">
        <v>30</v>
      </c>
    </row>
    <row r="4" spans="19:20" ht="12.75">
      <c r="S4" s="5" t="s">
        <v>30</v>
      </c>
      <c r="T4" s="5" t="s">
        <v>30</v>
      </c>
    </row>
    <row r="5" spans="2:18" ht="12.75">
      <c r="B5" s="7">
        <v>1865</v>
      </c>
      <c r="Q5" s="2" t="s">
        <v>51</v>
      </c>
      <c r="R5" s="2" t="s">
        <v>52</v>
      </c>
    </row>
    <row r="6" spans="2:18" ht="12.75">
      <c r="B6" t="s">
        <v>53</v>
      </c>
      <c r="Q6" s="2" t="s">
        <v>54</v>
      </c>
      <c r="R6" s="2" t="s">
        <v>55</v>
      </c>
    </row>
    <row r="7" spans="1:21" ht="15.75">
      <c r="A7" s="9" t="s">
        <v>58</v>
      </c>
      <c r="B7" s="6" t="s">
        <v>31</v>
      </c>
      <c r="I7" s="2">
        <v>806137</v>
      </c>
      <c r="J7" s="2">
        <v>1114665</v>
      </c>
      <c r="K7" s="2">
        <f>19564+8534</f>
        <v>28098</v>
      </c>
      <c r="L7" s="2">
        <v>4705</v>
      </c>
      <c r="M7" s="15">
        <f>O7+N7</f>
        <v>3</v>
      </c>
      <c r="O7" s="2">
        <v>3</v>
      </c>
      <c r="P7" s="2">
        <v>58</v>
      </c>
      <c r="Q7"/>
      <c r="S7" s="2">
        <v>560</v>
      </c>
      <c r="T7" s="2">
        <f>94582+505889</f>
        <v>600471</v>
      </c>
      <c r="U7" s="12">
        <v>1379</v>
      </c>
    </row>
    <row r="8" spans="1:21" ht="15.75">
      <c r="A8" s="9" t="s">
        <v>59</v>
      </c>
      <c r="B8" s="6" t="s">
        <v>32</v>
      </c>
      <c r="I8" s="2">
        <v>4600</v>
      </c>
      <c r="J8" s="2">
        <v>2733596</v>
      </c>
      <c r="Q8"/>
      <c r="S8" s="2">
        <f>7352+389</f>
        <v>7741</v>
      </c>
      <c r="T8" s="2">
        <f>7352490+308603</f>
        <v>7661093</v>
      </c>
      <c r="U8" s="12">
        <v>2560</v>
      </c>
    </row>
    <row r="9" spans="1:21" ht="15.75">
      <c r="A9" s="9" t="s">
        <v>60</v>
      </c>
      <c r="B9" s="6" t="s">
        <v>33</v>
      </c>
      <c r="C9" s="1">
        <f>36.62+0.225</f>
        <v>36.845</v>
      </c>
      <c r="D9" s="1">
        <v>125.29</v>
      </c>
      <c r="F9" s="2">
        <v>2709</v>
      </c>
      <c r="K9" s="2">
        <v>55463</v>
      </c>
      <c r="L9" s="2">
        <v>4883</v>
      </c>
      <c r="M9" s="15">
        <f aca="true" t="shared" si="0" ref="M9:M26">O9+N9</f>
        <v>5</v>
      </c>
      <c r="N9" s="2">
        <v>2</v>
      </c>
      <c r="O9" s="2">
        <v>3</v>
      </c>
      <c r="P9" s="2">
        <v>121</v>
      </c>
      <c r="S9" s="2">
        <f>2124+194</f>
        <v>2318</v>
      </c>
      <c r="T9" s="2">
        <f>2123706+193927</f>
        <v>2317633</v>
      </c>
      <c r="U9" s="12">
        <v>1101</v>
      </c>
    </row>
    <row r="10" spans="1:21" ht="15.75">
      <c r="A10" s="9" t="s">
        <v>61</v>
      </c>
      <c r="B10" s="6" t="s">
        <v>34</v>
      </c>
      <c r="F10" s="2">
        <v>325</v>
      </c>
      <c r="I10" s="2">
        <v>30604</v>
      </c>
      <c r="J10" s="2">
        <f>872126+8295191</f>
        <v>9167317</v>
      </c>
      <c r="K10" s="2">
        <f>537755+598227</f>
        <v>1135982</v>
      </c>
      <c r="L10" s="2">
        <f>18263+7706</f>
        <v>25969</v>
      </c>
      <c r="M10" s="15">
        <f t="shared" si="0"/>
        <v>35</v>
      </c>
      <c r="N10" s="2">
        <v>3</v>
      </c>
      <c r="O10" s="2">
        <v>32</v>
      </c>
      <c r="P10" s="2">
        <v>1043</v>
      </c>
      <c r="S10" s="2">
        <v>6267</v>
      </c>
      <c r="T10" s="2">
        <f>3236321+3030644</f>
        <v>6266965</v>
      </c>
      <c r="U10" s="12">
        <v>7958</v>
      </c>
    </row>
    <row r="11" spans="1:21" ht="15.75">
      <c r="A11" s="9" t="s">
        <v>62</v>
      </c>
      <c r="B11" s="6" t="s">
        <v>35</v>
      </c>
      <c r="G11" s="2">
        <f>17873+44728</f>
        <v>62601</v>
      </c>
      <c r="J11" s="2">
        <v>628840</v>
      </c>
      <c r="K11" s="2">
        <v>542989</v>
      </c>
      <c r="L11" s="2">
        <v>4987</v>
      </c>
      <c r="M11" s="15">
        <f t="shared" si="0"/>
        <v>24</v>
      </c>
      <c r="N11" s="2">
        <v>9</v>
      </c>
      <c r="O11" s="2">
        <v>15</v>
      </c>
      <c r="P11" s="2">
        <v>387</v>
      </c>
      <c r="S11" s="2">
        <v>2284</v>
      </c>
      <c r="T11" s="2">
        <f>217986+2066498</f>
        <v>2284484</v>
      </c>
      <c r="U11" s="12">
        <v>2677</v>
      </c>
    </row>
    <row r="12" spans="1:21" ht="15.75">
      <c r="A12" s="9" t="s">
        <v>63</v>
      </c>
      <c r="B12" s="6" t="s">
        <v>36</v>
      </c>
      <c r="E12" s="2">
        <v>302434</v>
      </c>
      <c r="F12" s="2">
        <v>398</v>
      </c>
      <c r="G12" s="2">
        <v>2325</v>
      </c>
      <c r="J12" s="2">
        <v>1186949</v>
      </c>
      <c r="K12" s="2">
        <v>67196</v>
      </c>
      <c r="L12" s="2">
        <v>6700</v>
      </c>
      <c r="M12" s="15">
        <f t="shared" si="0"/>
        <v>13</v>
      </c>
      <c r="N12" s="2">
        <v>3</v>
      </c>
      <c r="O12" s="2">
        <v>10</v>
      </c>
      <c r="P12" s="2">
        <v>142</v>
      </c>
      <c r="S12" s="2">
        <v>1039</v>
      </c>
      <c r="T12" s="2">
        <f>435401+603299</f>
        <v>1038700</v>
      </c>
      <c r="U12" s="12">
        <v>2116</v>
      </c>
    </row>
    <row r="13" spans="1:21" ht="15.75">
      <c r="A13" s="9" t="s">
        <v>64</v>
      </c>
      <c r="B13" s="6" t="s">
        <v>37</v>
      </c>
      <c r="J13" s="2">
        <v>389586</v>
      </c>
      <c r="M13" s="15">
        <f t="shared" si="0"/>
        <v>0</v>
      </c>
      <c r="S13" s="2">
        <v>475</v>
      </c>
      <c r="T13" s="2">
        <f>349735+124807</f>
        <v>474542</v>
      </c>
      <c r="U13" s="12">
        <v>4861</v>
      </c>
    </row>
    <row r="14" spans="1:21" ht="15.75">
      <c r="A14" s="9" t="s">
        <v>65</v>
      </c>
      <c r="B14" s="6" t="s">
        <v>38</v>
      </c>
      <c r="C14" s="1">
        <v>16.4536</v>
      </c>
      <c r="D14" s="1">
        <v>400.3634</v>
      </c>
      <c r="F14" s="2">
        <v>3264</v>
      </c>
      <c r="G14" s="2">
        <v>1711</v>
      </c>
      <c r="J14" s="2">
        <f>131660+2961</f>
        <v>134621</v>
      </c>
      <c r="K14" s="2">
        <v>51787</v>
      </c>
      <c r="L14" s="2">
        <v>7945</v>
      </c>
      <c r="M14" s="15">
        <f t="shared" si="0"/>
        <v>4</v>
      </c>
      <c r="N14" s="2">
        <v>1</v>
      </c>
      <c r="O14" s="2">
        <v>3</v>
      </c>
      <c r="P14" s="2">
        <v>129</v>
      </c>
      <c r="S14" s="2">
        <v>1611</v>
      </c>
      <c r="T14" s="2">
        <f>1268523+342849</f>
        <v>1611372</v>
      </c>
      <c r="U14" s="12">
        <v>2101</v>
      </c>
    </row>
    <row r="15" spans="1:21" ht="15.75">
      <c r="A15" s="9" t="s">
        <v>66</v>
      </c>
      <c r="B15" s="6" t="s">
        <v>39</v>
      </c>
      <c r="D15" s="1">
        <f>28877.681+42.409</f>
        <v>28920.09</v>
      </c>
      <c r="F15" s="2">
        <v>194</v>
      </c>
      <c r="G15" s="2">
        <v>1337</v>
      </c>
      <c r="H15" s="2">
        <v>9337</v>
      </c>
      <c r="I15" s="2">
        <f>232425+25580607</f>
        <v>25813032</v>
      </c>
      <c r="J15" s="2">
        <v>17629120</v>
      </c>
      <c r="K15" s="2">
        <f>55801+528828</f>
        <v>584629</v>
      </c>
      <c r="L15" s="2">
        <f>26948+176878</f>
        <v>203826</v>
      </c>
      <c r="M15" s="15">
        <f t="shared" si="0"/>
        <v>54</v>
      </c>
      <c r="N15" s="2">
        <v>16</v>
      </c>
      <c r="O15" s="2">
        <v>38</v>
      </c>
      <c r="P15" s="2">
        <v>1440</v>
      </c>
      <c r="S15" s="2">
        <f>1801+8681</f>
        <v>10482</v>
      </c>
      <c r="T15" s="2">
        <f>1801375+8680549</f>
        <v>10481924</v>
      </c>
      <c r="U15" s="12">
        <v>30367</v>
      </c>
    </row>
    <row r="16" spans="1:21" ht="15.75">
      <c r="A16" s="9" t="s">
        <v>67</v>
      </c>
      <c r="B16" s="6" t="s">
        <v>40</v>
      </c>
      <c r="I16" s="2">
        <v>5441148</v>
      </c>
      <c r="J16" s="2">
        <v>2116300</v>
      </c>
      <c r="K16" s="2">
        <v>373239</v>
      </c>
      <c r="L16" s="2">
        <v>108470</v>
      </c>
      <c r="M16" s="15">
        <f t="shared" si="0"/>
        <v>25</v>
      </c>
      <c r="N16" s="2">
        <v>10</v>
      </c>
      <c r="O16" s="2">
        <v>15</v>
      </c>
      <c r="P16" s="2">
        <v>566</v>
      </c>
      <c r="S16" s="2">
        <v>3246</v>
      </c>
      <c r="T16" s="2">
        <v>3246045</v>
      </c>
      <c r="U16" s="12">
        <v>6839</v>
      </c>
    </row>
    <row r="17" spans="1:21" ht="15.75">
      <c r="A17" s="9" t="s">
        <v>68</v>
      </c>
      <c r="B17" s="6" t="s">
        <v>41</v>
      </c>
      <c r="I17" s="2">
        <v>9933419</v>
      </c>
      <c r="J17" s="2">
        <v>1752</v>
      </c>
      <c r="K17" s="2">
        <v>67274</v>
      </c>
      <c r="L17" s="2">
        <v>36056</v>
      </c>
      <c r="M17" s="15">
        <f t="shared" si="0"/>
        <v>7</v>
      </c>
      <c r="N17" s="2">
        <v>1</v>
      </c>
      <c r="O17" s="2">
        <v>6</v>
      </c>
      <c r="P17" s="2">
        <v>249</v>
      </c>
      <c r="S17" s="2">
        <v>2485</v>
      </c>
      <c r="T17" s="2">
        <v>2485094</v>
      </c>
      <c r="U17" s="12">
        <v>7651</v>
      </c>
    </row>
    <row r="18" spans="1:21" ht="15.75">
      <c r="A18" s="9" t="s">
        <v>69</v>
      </c>
      <c r="B18" s="6" t="s">
        <v>42</v>
      </c>
      <c r="H18" s="2">
        <v>22987</v>
      </c>
      <c r="I18" s="2">
        <f>1021389+1152577</f>
        <v>2173966</v>
      </c>
      <c r="J18" s="2">
        <v>53940</v>
      </c>
      <c r="K18" s="2">
        <v>34169</v>
      </c>
      <c r="L18" s="2">
        <v>44809</v>
      </c>
      <c r="M18" s="15">
        <f t="shared" si="0"/>
        <v>17</v>
      </c>
      <c r="N18" s="2">
        <v>7</v>
      </c>
      <c r="O18" s="2">
        <v>10</v>
      </c>
      <c r="P18" s="2">
        <v>1297</v>
      </c>
      <c r="S18" s="2">
        <f>12213+686</f>
        <v>12899</v>
      </c>
      <c r="T18" s="2">
        <f>12212815+686278</f>
        <v>12899093</v>
      </c>
      <c r="U18" s="12">
        <v>6536</v>
      </c>
    </row>
    <row r="19" spans="1:21" ht="15.75">
      <c r="A19" s="9" t="s">
        <v>70</v>
      </c>
      <c r="B19" s="6" t="s">
        <v>43</v>
      </c>
      <c r="F19" s="2">
        <v>647</v>
      </c>
      <c r="K19" s="2">
        <v>19677</v>
      </c>
      <c r="L19" s="2">
        <v>1153</v>
      </c>
      <c r="M19" s="15">
        <f t="shared" si="0"/>
        <v>5</v>
      </c>
      <c r="N19" s="2">
        <v>2</v>
      </c>
      <c r="O19" s="2">
        <v>3</v>
      </c>
      <c r="P19" s="2">
        <v>73</v>
      </c>
      <c r="S19" s="2">
        <v>310</v>
      </c>
      <c r="T19" s="2">
        <f>190543+119143</f>
        <v>309686</v>
      </c>
      <c r="U19" s="12">
        <v>613</v>
      </c>
    </row>
    <row r="20" spans="1:21" ht="15.75">
      <c r="A20" s="9" t="s">
        <v>71</v>
      </c>
      <c r="B20" s="6" t="s">
        <v>44</v>
      </c>
      <c r="J20" s="2">
        <v>105420</v>
      </c>
      <c r="M20" s="15">
        <f t="shared" si="0"/>
        <v>0</v>
      </c>
      <c r="S20" s="2">
        <v>319</v>
      </c>
      <c r="T20" s="2">
        <f>298092+21324</f>
        <v>319416</v>
      </c>
      <c r="U20" s="12">
        <v>521</v>
      </c>
    </row>
    <row r="21" spans="1:21" ht="15.75">
      <c r="A21" s="9" t="s">
        <v>72</v>
      </c>
      <c r="B21" s="6" t="s">
        <v>45</v>
      </c>
      <c r="D21" s="1">
        <v>0.1</v>
      </c>
      <c r="E21" s="2">
        <v>410</v>
      </c>
      <c r="F21" s="2">
        <v>4010</v>
      </c>
      <c r="G21" s="2">
        <v>285</v>
      </c>
      <c r="H21" s="2">
        <v>902</v>
      </c>
      <c r="J21" s="2">
        <v>125016</v>
      </c>
      <c r="M21" s="15">
        <f t="shared" si="0"/>
        <v>0</v>
      </c>
      <c r="Q21" s="2">
        <v>238531</v>
      </c>
      <c r="R21" s="2">
        <v>2003703</v>
      </c>
      <c r="S21" s="2">
        <v>2293</v>
      </c>
      <c r="T21" s="2">
        <f>2224004+68983</f>
        <v>2292987</v>
      </c>
      <c r="U21" s="12">
        <v>1277</v>
      </c>
    </row>
    <row r="22" spans="1:21" ht="12.75">
      <c r="A22" s="9" t="s">
        <v>73</v>
      </c>
      <c r="B22" t="s">
        <v>46</v>
      </c>
      <c r="C22" s="1">
        <f>1013.8427+519.3218</f>
        <v>1533.1645</v>
      </c>
      <c r="D22" s="1">
        <f>36253.61+12600.0675</f>
        <v>48853.6775</v>
      </c>
      <c r="E22" s="2">
        <v>763</v>
      </c>
      <c r="F22" s="2">
        <f>11253+24755</f>
        <v>36008</v>
      </c>
      <c r="G22" s="2">
        <f>17246+2851</f>
        <v>20097</v>
      </c>
      <c r="H22" s="2">
        <v>79</v>
      </c>
      <c r="I22" s="2">
        <v>6361297</v>
      </c>
      <c r="J22" s="2">
        <f>38400+4333511</f>
        <v>4371911</v>
      </c>
      <c r="K22" s="2">
        <f>189331+1393695</f>
        <v>1583026</v>
      </c>
      <c r="L22" s="2">
        <f>20462+96279</f>
        <v>116741</v>
      </c>
      <c r="M22" s="15">
        <f t="shared" si="0"/>
        <v>86</v>
      </c>
      <c r="N22" s="2">
        <v>15</v>
      </c>
      <c r="O22" s="2">
        <v>71</v>
      </c>
      <c r="P22" s="2">
        <v>2547</v>
      </c>
      <c r="Q22" s="2">
        <f>831503+128924+132801</f>
        <v>1093228</v>
      </c>
      <c r="R22" s="2">
        <v>7241432</v>
      </c>
      <c r="S22" s="2">
        <v>18640</v>
      </c>
      <c r="T22" s="2">
        <f>10882319+7757630</f>
        <v>18639949</v>
      </c>
      <c r="U22" s="12">
        <v>31075</v>
      </c>
    </row>
    <row r="23" spans="1:21" ht="12.75">
      <c r="A23" s="9" t="s">
        <v>74</v>
      </c>
      <c r="B23" t="s">
        <v>47</v>
      </c>
      <c r="H23" s="2">
        <v>50</v>
      </c>
      <c r="J23" s="2">
        <v>175436</v>
      </c>
      <c r="K23" s="2">
        <v>2665</v>
      </c>
      <c r="L23" s="2">
        <v>298</v>
      </c>
      <c r="M23" s="15">
        <f t="shared" si="0"/>
        <v>1</v>
      </c>
      <c r="O23" s="2">
        <v>1</v>
      </c>
      <c r="P23" s="2">
        <v>8</v>
      </c>
      <c r="S23" s="2">
        <v>77</v>
      </c>
      <c r="T23" s="2">
        <v>76835</v>
      </c>
      <c r="U23" s="12">
        <v>242</v>
      </c>
    </row>
    <row r="24" spans="1:21" ht="12.75">
      <c r="A24" s="9" t="s">
        <v>75</v>
      </c>
      <c r="B24" t="s">
        <v>48</v>
      </c>
      <c r="C24" s="1">
        <f>556.534+1504.8899</f>
        <v>2061.4239</v>
      </c>
      <c r="D24" s="1">
        <f>2631.225+761.671</f>
        <v>3392.8959999999997</v>
      </c>
      <c r="F24" s="2">
        <f>1852+2213</f>
        <v>4065</v>
      </c>
      <c r="G24" s="2">
        <v>2381</v>
      </c>
      <c r="J24" s="2">
        <v>31686</v>
      </c>
      <c r="K24" s="2">
        <v>45660</v>
      </c>
      <c r="L24" s="2">
        <v>9749</v>
      </c>
      <c r="M24" s="15">
        <f t="shared" si="0"/>
        <v>7</v>
      </c>
      <c r="N24" s="2">
        <v>1</v>
      </c>
      <c r="O24" s="2">
        <v>6</v>
      </c>
      <c r="P24" s="2">
        <v>271</v>
      </c>
      <c r="Q24" s="2">
        <f>779770+125764</f>
        <v>905534</v>
      </c>
      <c r="R24" s="2">
        <v>3712706</v>
      </c>
      <c r="S24" s="2">
        <v>5737</v>
      </c>
      <c r="T24" s="2">
        <f>4390442+1346259</f>
        <v>5736701</v>
      </c>
      <c r="U24" s="12">
        <v>10859</v>
      </c>
    </row>
    <row r="25" spans="1:21" ht="12.75">
      <c r="A25" s="9" t="s">
        <v>76</v>
      </c>
      <c r="B25" t="s">
        <v>49</v>
      </c>
      <c r="I25" s="2">
        <v>94464</v>
      </c>
      <c r="J25" s="2">
        <v>23500</v>
      </c>
      <c r="K25" s="2">
        <v>31663</v>
      </c>
      <c r="L25" s="2">
        <v>20963</v>
      </c>
      <c r="M25" s="15">
        <f t="shared" si="0"/>
        <v>6</v>
      </c>
      <c r="N25" s="2">
        <v>1</v>
      </c>
      <c r="O25" s="2">
        <v>5</v>
      </c>
      <c r="P25" s="2">
        <v>147</v>
      </c>
      <c r="S25" s="2">
        <v>213</v>
      </c>
      <c r="T25" s="2">
        <v>212972</v>
      </c>
      <c r="U25" s="12">
        <v>1036</v>
      </c>
    </row>
    <row r="26" spans="2:21" ht="12.75">
      <c r="B26" t="s">
        <v>56</v>
      </c>
      <c r="C26" s="1">
        <f aca="true" t="shared" si="1" ref="C26:P26">SUM(C7:C25)</f>
        <v>3647.8869999999997</v>
      </c>
      <c r="D26" s="1">
        <f t="shared" si="1"/>
        <v>81692.4169</v>
      </c>
      <c r="E26" s="1">
        <f t="shared" si="1"/>
        <v>303607</v>
      </c>
      <c r="F26" s="2">
        <f t="shared" si="1"/>
        <v>51620</v>
      </c>
      <c r="G26" s="2">
        <f t="shared" si="1"/>
        <v>90737</v>
      </c>
      <c r="H26" s="2">
        <f t="shared" si="1"/>
        <v>33355</v>
      </c>
      <c r="I26" s="2">
        <f t="shared" si="1"/>
        <v>50658667</v>
      </c>
      <c r="J26" s="2">
        <f t="shared" si="1"/>
        <v>39989655</v>
      </c>
      <c r="K26" s="2">
        <f t="shared" si="1"/>
        <v>4623517</v>
      </c>
      <c r="L26" s="2">
        <f t="shared" si="1"/>
        <v>597254</v>
      </c>
      <c r="M26" s="15">
        <f t="shared" si="0"/>
        <v>292</v>
      </c>
      <c r="N26" s="2">
        <f t="shared" si="1"/>
        <v>71</v>
      </c>
      <c r="O26" s="2">
        <f t="shared" si="1"/>
        <v>221</v>
      </c>
      <c r="P26" s="2">
        <f t="shared" si="1"/>
        <v>8478</v>
      </c>
      <c r="Q26" s="2">
        <f>2689598+2256553+1047082+977078</f>
        <v>6970311</v>
      </c>
      <c r="R26" s="2">
        <v>37440997</v>
      </c>
      <c r="S26" s="2">
        <f>SUM(S7:S25)</f>
        <v>78996</v>
      </c>
      <c r="T26" s="2">
        <f>SUM(T7:T25)</f>
        <v>78955962</v>
      </c>
      <c r="U26" s="13">
        <f>SUM(U7:U25)</f>
        <v>121769</v>
      </c>
    </row>
    <row r="27" spans="3:20" ht="12.75">
      <c r="C27" s="1" t="s">
        <v>50</v>
      </c>
      <c r="D27" s="1">
        <v>81700.4169</v>
      </c>
      <c r="P27" s="2">
        <v>8528</v>
      </c>
      <c r="T27" s="2">
        <v>79035969</v>
      </c>
    </row>
  </sheetData>
  <sheetProtection/>
  <mergeCells count="1">
    <mergeCell ref="M1:P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2017-09-02T17:21:02Z</dcterms:modified>
  <cp:category/>
  <cp:version/>
  <cp:contentType/>
  <cp:contentStatus/>
</cp:coreProperties>
</file>