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KU45" i="1" l="1"/>
  <c r="KU46" i="1"/>
  <c r="JK45" i="1"/>
  <c r="GW45" i="1"/>
  <c r="EO45" i="1"/>
  <c r="CG45" i="1"/>
  <c r="BH45" i="1"/>
  <c r="AR45" i="1"/>
  <c r="R45" i="1"/>
  <c r="L60" i="1"/>
  <c r="Y60" i="1"/>
  <c r="Z60" i="1"/>
  <c r="AK60" i="1"/>
  <c r="AL60" i="1"/>
  <c r="BN60" i="1"/>
  <c r="BT60" i="1"/>
  <c r="BU60" i="1"/>
  <c r="BW60" i="1"/>
  <c r="CL60" i="1"/>
  <c r="CM60" i="1"/>
  <c r="CS60" i="1"/>
  <c r="CV60" i="1"/>
  <c r="CW60" i="1"/>
  <c r="DB60" i="1"/>
  <c r="DC60" i="1"/>
  <c r="DE60" i="1"/>
  <c r="DF60" i="1"/>
  <c r="DG60" i="1"/>
  <c r="DK60" i="1"/>
  <c r="DM60" i="1"/>
  <c r="DN60" i="1"/>
  <c r="DO60" i="1"/>
  <c r="DQ60" i="1"/>
  <c r="DR60" i="1"/>
  <c r="DS60" i="1"/>
  <c r="DY60" i="1"/>
  <c r="DZ60" i="1"/>
  <c r="EA60" i="1"/>
  <c r="EB60" i="1"/>
  <c r="EC60" i="1"/>
  <c r="EE60" i="1"/>
  <c r="EF60" i="1"/>
  <c r="EI60" i="1"/>
  <c r="EJ60" i="1"/>
  <c r="EW60" i="1"/>
  <c r="EX60" i="1"/>
  <c r="FB60" i="1"/>
  <c r="FC60" i="1"/>
  <c r="FD60" i="1"/>
  <c r="FG60" i="1"/>
  <c r="FM60" i="1"/>
  <c r="FN60" i="1"/>
  <c r="FO60" i="1"/>
  <c r="FP60" i="1"/>
  <c r="FV60" i="1"/>
  <c r="FW60" i="1"/>
  <c r="FX60" i="1"/>
  <c r="FZ60" i="1"/>
  <c r="GA60" i="1"/>
  <c r="GI60" i="1"/>
  <c r="GJ60" i="1"/>
  <c r="GM60" i="1"/>
  <c r="GN60" i="1"/>
  <c r="GO60" i="1"/>
  <c r="GP60" i="1"/>
  <c r="GQ60" i="1"/>
  <c r="GR60" i="1"/>
  <c r="HB60" i="1"/>
  <c r="HC60" i="1"/>
  <c r="HD60" i="1"/>
  <c r="HE60" i="1"/>
  <c r="HF60" i="1"/>
  <c r="HG60" i="1"/>
  <c r="HH60" i="1"/>
  <c r="HI60" i="1"/>
  <c r="HJ60" i="1"/>
  <c r="HK60" i="1"/>
  <c r="HL60" i="1"/>
  <c r="HM60" i="1"/>
  <c r="HN60" i="1"/>
  <c r="HO60" i="1"/>
  <c r="HW60" i="1"/>
  <c r="HX60" i="1"/>
  <c r="IB60" i="1"/>
  <c r="II60" i="1"/>
  <c r="IJ60" i="1"/>
  <c r="IT60" i="1"/>
  <c r="IU60" i="1"/>
  <c r="IV60" i="1"/>
  <c r="IW60" i="1"/>
  <c r="IX60" i="1"/>
  <c r="IY60" i="1"/>
  <c r="IZ60" i="1"/>
  <c r="JA60" i="1"/>
  <c r="JB60" i="1"/>
  <c r="JC60" i="1"/>
  <c r="JD60" i="1"/>
  <c r="JE60" i="1"/>
  <c r="JM60" i="1"/>
  <c r="JP60" i="1"/>
  <c r="JS60" i="1"/>
  <c r="JV60" i="1"/>
  <c r="JW60" i="1"/>
  <c r="JX60" i="1"/>
  <c r="JY60" i="1"/>
  <c r="JZ60" i="1"/>
  <c r="KA60" i="1"/>
  <c r="KB60" i="1"/>
  <c r="KC60" i="1"/>
  <c r="KD60" i="1"/>
  <c r="KE60" i="1"/>
  <c r="KL60" i="1"/>
  <c r="KM60" i="1"/>
  <c r="KN60" i="1"/>
  <c r="KO60" i="1"/>
  <c r="LB60" i="1"/>
  <c r="M60" i="1"/>
  <c r="AW60" i="1"/>
  <c r="AX60" i="1"/>
  <c r="BM60" i="1"/>
  <c r="BV60" i="1"/>
  <c r="CR60" i="1"/>
  <c r="CZ60" i="1"/>
  <c r="DA60" i="1"/>
  <c r="DD60" i="1"/>
  <c r="DH60" i="1"/>
  <c r="DI60" i="1"/>
  <c r="DJ60" i="1"/>
  <c r="DL60" i="1"/>
  <c r="DP60" i="1"/>
  <c r="DT60" i="1"/>
  <c r="DU60" i="1"/>
  <c r="ED60" i="1"/>
  <c r="FE60" i="1"/>
  <c r="FF60" i="1"/>
  <c r="FY60" i="1"/>
  <c r="GG60" i="1"/>
  <c r="GH60" i="1"/>
  <c r="HV60" i="1"/>
  <c r="HY60" i="1"/>
  <c r="HZ60" i="1"/>
  <c r="IA60" i="1"/>
  <c r="IC60" i="1"/>
  <c r="JQ60" i="1"/>
  <c r="JR60" i="1"/>
  <c r="L61" i="1"/>
  <c r="M61" i="1"/>
  <c r="Y61" i="1"/>
  <c r="Z61" i="1"/>
  <c r="AF61" i="1"/>
  <c r="AG61" i="1"/>
  <c r="AK61" i="1"/>
  <c r="AL61" i="1"/>
  <c r="AW61" i="1"/>
  <c r="AX61" i="1"/>
  <c r="BK61" i="1"/>
  <c r="BL61" i="1"/>
  <c r="BM61" i="1"/>
  <c r="BN61" i="1"/>
  <c r="BT61" i="1"/>
  <c r="BU61" i="1"/>
  <c r="BV61" i="1"/>
  <c r="BW61" i="1"/>
  <c r="CA61" i="1"/>
  <c r="CB61" i="1"/>
  <c r="CJ61" i="1"/>
  <c r="CK61" i="1"/>
  <c r="CL61" i="1"/>
  <c r="CM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R61" i="1"/>
  <c r="ES61" i="1"/>
  <c r="EW61" i="1"/>
  <c r="EX61" i="1"/>
  <c r="FD61" i="1"/>
  <c r="FE61" i="1"/>
  <c r="FF61" i="1"/>
  <c r="FG61" i="1"/>
  <c r="FK61" i="1"/>
  <c r="FL61" i="1"/>
  <c r="FM61" i="1"/>
  <c r="FN61" i="1"/>
  <c r="FO61" i="1"/>
  <c r="FP61" i="1"/>
  <c r="FT61" i="1"/>
  <c r="FU61" i="1"/>
  <c r="FV61" i="1"/>
  <c r="FW61" i="1"/>
  <c r="FX61" i="1"/>
  <c r="FY61" i="1"/>
  <c r="FZ61" i="1"/>
  <c r="GA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T61" i="1"/>
  <c r="HU61" i="1"/>
  <c r="HV61" i="1"/>
  <c r="HW61" i="1"/>
  <c r="HX61" i="1"/>
  <c r="HY61" i="1"/>
  <c r="HZ61" i="1"/>
  <c r="IA61" i="1"/>
  <c r="IB61" i="1"/>
  <c r="IC61" i="1"/>
  <c r="IG61" i="1"/>
  <c r="IH61" i="1"/>
  <c r="II61" i="1"/>
  <c r="IJ61" i="1"/>
  <c r="IT61" i="1"/>
  <c r="IU61" i="1"/>
  <c r="IV61" i="1"/>
  <c r="IW61" i="1"/>
  <c r="IX61" i="1"/>
  <c r="IY61" i="1"/>
  <c r="IZ61" i="1"/>
  <c r="JA61" i="1"/>
  <c r="JB61" i="1"/>
  <c r="JC61" i="1"/>
  <c r="JD61" i="1"/>
  <c r="JE61" i="1"/>
  <c r="JM61" i="1"/>
  <c r="JN61" i="1"/>
  <c r="JO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C61" i="1"/>
  <c r="KD61" i="1"/>
  <c r="KE61" i="1"/>
  <c r="KL61" i="1"/>
  <c r="KM61" i="1"/>
  <c r="KN61" i="1"/>
  <c r="KO61" i="1"/>
  <c r="LB61" i="1"/>
  <c r="E62" i="1"/>
  <c r="F62" i="1"/>
  <c r="J62" i="1"/>
  <c r="K62" i="1"/>
  <c r="L62" i="1"/>
  <c r="M62" i="1"/>
  <c r="Y62" i="1"/>
  <c r="Z62" i="1"/>
  <c r="AF62" i="1"/>
  <c r="AG62" i="1"/>
  <c r="AK62" i="1"/>
  <c r="AL62" i="1"/>
  <c r="AW62" i="1"/>
  <c r="AX62" i="1"/>
  <c r="BB62" i="1"/>
  <c r="BC62" i="1"/>
  <c r="BK62" i="1"/>
  <c r="BL62" i="1"/>
  <c r="BM62" i="1"/>
  <c r="BN62" i="1"/>
  <c r="BT62" i="1"/>
  <c r="BU62" i="1"/>
  <c r="BV62" i="1"/>
  <c r="BW62" i="1"/>
  <c r="CA62" i="1"/>
  <c r="CB62" i="1"/>
  <c r="CJ62" i="1"/>
  <c r="CK62" i="1"/>
  <c r="CL62" i="1"/>
  <c r="CM62" i="1"/>
  <c r="CR62" i="1"/>
  <c r="CS62" i="1"/>
  <c r="CT62" i="1"/>
  <c r="CU62" i="1"/>
  <c r="CV62" i="1"/>
  <c r="CW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R62" i="1"/>
  <c r="ES62" i="1"/>
  <c r="EW62" i="1"/>
  <c r="EX62" i="1"/>
  <c r="FB62" i="1"/>
  <c r="FC62" i="1"/>
  <c r="FD62" i="1"/>
  <c r="FE62" i="1"/>
  <c r="FF62" i="1"/>
  <c r="FG62" i="1"/>
  <c r="FM62" i="1"/>
  <c r="FN62" i="1"/>
  <c r="FO62" i="1"/>
  <c r="FP62" i="1"/>
  <c r="FT62" i="1"/>
  <c r="FU62" i="1"/>
  <c r="FV62" i="1"/>
  <c r="FW62" i="1"/>
  <c r="FX62" i="1"/>
  <c r="FY62" i="1"/>
  <c r="FZ62" i="1"/>
  <c r="GA62" i="1"/>
  <c r="GE62" i="1"/>
  <c r="GF62" i="1"/>
  <c r="GG62" i="1"/>
  <c r="GH62" i="1"/>
  <c r="GI62" i="1"/>
  <c r="GJ62" i="1"/>
  <c r="GK62" i="1"/>
  <c r="GL62" i="1"/>
  <c r="GM62" i="1"/>
  <c r="GN62" i="1"/>
  <c r="GO62" i="1"/>
  <c r="GP62" i="1"/>
  <c r="GQ62" i="1"/>
  <c r="GR62" i="1"/>
  <c r="GZ62" i="1"/>
  <c r="HA62" i="1"/>
  <c r="HB62" i="1"/>
  <c r="HC62" i="1"/>
  <c r="HD62" i="1"/>
  <c r="HE62" i="1"/>
  <c r="HF62" i="1"/>
  <c r="HG62" i="1"/>
  <c r="HH62" i="1"/>
  <c r="HI62" i="1"/>
  <c r="HJ62" i="1"/>
  <c r="HK62" i="1"/>
  <c r="HL62" i="1"/>
  <c r="HM62" i="1"/>
  <c r="HN62" i="1"/>
  <c r="HO62" i="1"/>
  <c r="HT62" i="1"/>
  <c r="HU62" i="1"/>
  <c r="HV62" i="1"/>
  <c r="HW62" i="1"/>
  <c r="HX62" i="1"/>
  <c r="HY62" i="1"/>
  <c r="HZ62" i="1"/>
  <c r="IA62" i="1"/>
  <c r="IB62" i="1"/>
  <c r="IC62" i="1"/>
  <c r="IG62" i="1"/>
  <c r="IH62" i="1"/>
  <c r="II62" i="1"/>
  <c r="IJ62" i="1"/>
  <c r="IN62" i="1"/>
  <c r="IO62" i="1"/>
  <c r="IT62" i="1"/>
  <c r="IU62" i="1"/>
  <c r="IV62" i="1"/>
  <c r="IW62" i="1"/>
  <c r="IX62" i="1"/>
  <c r="IY62" i="1"/>
  <c r="IZ62" i="1"/>
  <c r="JA62" i="1"/>
  <c r="JB62" i="1"/>
  <c r="JC62" i="1"/>
  <c r="JD62" i="1"/>
  <c r="JE62" i="1"/>
  <c r="JM62" i="1"/>
  <c r="JN62" i="1"/>
  <c r="JO62" i="1"/>
  <c r="JP62" i="1"/>
  <c r="JQ62" i="1"/>
  <c r="JR62" i="1"/>
  <c r="JS62" i="1"/>
  <c r="JT62" i="1"/>
  <c r="JU62" i="1"/>
  <c r="JV62" i="1"/>
  <c r="JW62" i="1"/>
  <c r="JX62" i="1"/>
  <c r="JY62" i="1"/>
  <c r="JZ62" i="1"/>
  <c r="KA62" i="1"/>
  <c r="KB62" i="1"/>
  <c r="KC62" i="1"/>
  <c r="KD62" i="1"/>
  <c r="KE62" i="1"/>
  <c r="KL62" i="1"/>
  <c r="KM62" i="1"/>
  <c r="KN62" i="1"/>
  <c r="KO62" i="1"/>
  <c r="LB62" i="1"/>
  <c r="CT60" i="1" l="1"/>
  <c r="CT63" i="1" s="1"/>
  <c r="GB61" i="1"/>
  <c r="KF61" i="1"/>
  <c r="GH63" i="1"/>
  <c r="FP63" i="1"/>
  <c r="FH62" i="1"/>
  <c r="N62" i="1"/>
  <c r="KM63" i="1"/>
  <c r="FD63" i="1"/>
  <c r="EF63" i="1"/>
  <c r="HJ63" i="1"/>
  <c r="EX63" i="1"/>
  <c r="EB63" i="1"/>
  <c r="L63" i="1"/>
  <c r="DH63" i="1"/>
  <c r="O62" i="1"/>
  <c r="JD63" i="1"/>
  <c r="HQ62" i="1"/>
  <c r="BM63" i="1"/>
  <c r="KG62" i="1"/>
  <c r="BW63" i="1"/>
  <c r="KN63" i="1"/>
  <c r="HN63" i="1"/>
  <c r="HF63" i="1"/>
  <c r="HB63" i="1"/>
  <c r="BO61" i="1"/>
  <c r="IZ63" i="1"/>
  <c r="IV63" i="1"/>
  <c r="EC63" i="1"/>
  <c r="DY63" i="1"/>
  <c r="HP62" i="1"/>
  <c r="JZ63" i="1"/>
  <c r="HY63" i="1"/>
  <c r="GA63" i="1"/>
  <c r="DL63" i="1"/>
  <c r="BN63" i="1"/>
  <c r="IW63" i="1"/>
  <c r="IE62" i="1"/>
  <c r="FZ63" i="1"/>
  <c r="FV63" i="1"/>
  <c r="Y63" i="1"/>
  <c r="CL63" i="1"/>
  <c r="FM63" i="1"/>
  <c r="DT63" i="1"/>
  <c r="DD63" i="1"/>
  <c r="DV61" i="1"/>
  <c r="CR63" i="1"/>
  <c r="LB63" i="1"/>
  <c r="KL63" i="1"/>
  <c r="IL61" i="1"/>
  <c r="JR63" i="1"/>
  <c r="JE63" i="1"/>
  <c r="JA63" i="1"/>
  <c r="IJ63" i="1"/>
  <c r="IA63" i="1"/>
  <c r="HW63" i="1"/>
  <c r="HM63" i="1"/>
  <c r="HI63" i="1"/>
  <c r="HE63" i="1"/>
  <c r="GR63" i="1"/>
  <c r="GN63" i="1"/>
  <c r="ED63" i="1"/>
  <c r="DZ63" i="1"/>
  <c r="CM63" i="1"/>
  <c r="GM63" i="1"/>
  <c r="JP63" i="1"/>
  <c r="DP63" i="1"/>
  <c r="CZ63" i="1"/>
  <c r="JV63" i="1"/>
  <c r="KF62" i="1"/>
  <c r="IY63" i="1"/>
  <c r="IU63" i="1"/>
  <c r="IL62" i="1"/>
  <c r="HZ63" i="1"/>
  <c r="HV63" i="1"/>
  <c r="ID61" i="1"/>
  <c r="GC61" i="1"/>
  <c r="FE63" i="1"/>
  <c r="EA63" i="1"/>
  <c r="BP61" i="1"/>
  <c r="FI60" i="1"/>
  <c r="Z63" i="1"/>
  <c r="JY63" i="1"/>
  <c r="JB63" i="1"/>
  <c r="IX63" i="1"/>
  <c r="ID62" i="1"/>
  <c r="DS63" i="1"/>
  <c r="DK63" i="1"/>
  <c r="DG63" i="1"/>
  <c r="BP62" i="1"/>
  <c r="JX63" i="1"/>
  <c r="KO63" i="1"/>
  <c r="GG63" i="1"/>
  <c r="BT63" i="1"/>
  <c r="BV63" i="1"/>
  <c r="JS63" i="1"/>
  <c r="KD63" i="1"/>
  <c r="JC63" i="1"/>
  <c r="IC63" i="1"/>
  <c r="HO63" i="1"/>
  <c r="HK63" i="1"/>
  <c r="HG63" i="1"/>
  <c r="HC63" i="1"/>
  <c r="GP63" i="1"/>
  <c r="GJ63" i="1"/>
  <c r="FW63" i="1"/>
  <c r="FN63" i="1"/>
  <c r="AL63" i="1"/>
  <c r="EE63" i="1"/>
  <c r="JQ63" i="1"/>
  <c r="IT63" i="1"/>
  <c r="DO63" i="1"/>
  <c r="DC63" i="1"/>
  <c r="KB63" i="1"/>
  <c r="GQ63" i="1"/>
  <c r="FO63" i="1"/>
  <c r="CV63" i="1"/>
  <c r="AW63" i="1"/>
  <c r="BO62" i="1"/>
  <c r="IK61" i="1"/>
  <c r="KC63" i="1"/>
  <c r="JM63" i="1"/>
  <c r="IB63" i="1"/>
  <c r="HX63" i="1"/>
  <c r="GO63" i="1"/>
  <c r="GI63" i="1"/>
  <c r="EW63" i="1"/>
  <c r="AK63" i="1"/>
  <c r="EJ63" i="1"/>
  <c r="FG63" i="1"/>
  <c r="HL63" i="1"/>
  <c r="HH63" i="1"/>
  <c r="HD63" i="1"/>
  <c r="FX63" i="1"/>
  <c r="FF63" i="1"/>
  <c r="EI63" i="1"/>
  <c r="DU63" i="1"/>
  <c r="DQ63" i="1"/>
  <c r="DM63" i="1"/>
  <c r="DI63" i="1"/>
  <c r="DE63" i="1"/>
  <c r="DA63" i="1"/>
  <c r="AX63" i="1"/>
  <c r="DW61" i="1"/>
  <c r="CS63" i="1"/>
  <c r="IK62" i="1"/>
  <c r="II63" i="1"/>
  <c r="GB62" i="1"/>
  <c r="CW63" i="1"/>
  <c r="GC62" i="1"/>
  <c r="DR63" i="1"/>
  <c r="DN63" i="1"/>
  <c r="DJ63" i="1"/>
  <c r="DF63" i="1"/>
  <c r="DB63" i="1"/>
  <c r="FY63" i="1"/>
  <c r="BU63" i="1"/>
  <c r="M63" i="1"/>
  <c r="KG61" i="1"/>
  <c r="KE63" i="1"/>
  <c r="KA63" i="1"/>
  <c r="JW63" i="1"/>
  <c r="FI62" i="1"/>
  <c r="FR61" i="1"/>
  <c r="FH60" i="1"/>
  <c r="IE61" i="1"/>
  <c r="FQ61" i="1"/>
  <c r="KQ59" i="1"/>
  <c r="KP59" i="1"/>
  <c r="KG59" i="1"/>
  <c r="KF59" i="1"/>
  <c r="JG59" i="1"/>
  <c r="JF59" i="1"/>
  <c r="IL59" i="1"/>
  <c r="IK59" i="1"/>
  <c r="IE59" i="1"/>
  <c r="ID59" i="1"/>
  <c r="HQ59" i="1"/>
  <c r="HP59" i="1"/>
  <c r="GT59" i="1"/>
  <c r="GS59" i="1"/>
  <c r="GC59" i="1"/>
  <c r="GB59" i="1"/>
  <c r="FR59" i="1"/>
  <c r="FQ59" i="1"/>
  <c r="FI59" i="1"/>
  <c r="FH59" i="1"/>
  <c r="EZ59" i="1"/>
  <c r="EY59" i="1"/>
  <c r="EL59" i="1"/>
  <c r="EK59" i="1"/>
  <c r="CY59" i="1"/>
  <c r="DW59" i="1" s="1"/>
  <c r="CX59" i="1"/>
  <c r="DV59" i="1" s="1"/>
  <c r="CO59" i="1"/>
  <c r="CN59" i="1"/>
  <c r="CF59" i="1"/>
  <c r="CE59" i="1"/>
  <c r="BY59" i="1"/>
  <c r="BX59" i="1"/>
  <c r="BP59" i="1"/>
  <c r="BO59" i="1"/>
  <c r="AV59" i="1"/>
  <c r="BG59" i="1" s="1"/>
  <c r="AU59" i="1"/>
  <c r="BF59" i="1" s="1"/>
  <c r="AN59" i="1"/>
  <c r="AM59" i="1"/>
  <c r="V59" i="1"/>
  <c r="AQ59" i="1" s="1"/>
  <c r="U59" i="1"/>
  <c r="Q59" i="1"/>
  <c r="P59" i="1"/>
  <c r="O59" i="1"/>
  <c r="N59" i="1"/>
  <c r="KK58" i="1"/>
  <c r="KQ58" i="1" s="1"/>
  <c r="KJ58" i="1"/>
  <c r="KP58" i="1" s="1"/>
  <c r="KG58" i="1"/>
  <c r="KF58" i="1"/>
  <c r="JG58" i="1"/>
  <c r="JF58" i="1"/>
  <c r="IL58" i="1"/>
  <c r="IK58" i="1"/>
  <c r="IE58" i="1"/>
  <c r="ID58" i="1"/>
  <c r="HQ58" i="1"/>
  <c r="HP58" i="1"/>
  <c r="GT58" i="1"/>
  <c r="GS58" i="1"/>
  <c r="GC58" i="1"/>
  <c r="GB58" i="1"/>
  <c r="FR58" i="1"/>
  <c r="FQ58" i="1"/>
  <c r="FI58" i="1"/>
  <c r="FH58" i="1"/>
  <c r="EZ58" i="1"/>
  <c r="EY58" i="1"/>
  <c r="EL58" i="1"/>
  <c r="EK58" i="1"/>
  <c r="DW58" i="1"/>
  <c r="DV58" i="1"/>
  <c r="CO58" i="1"/>
  <c r="CN58" i="1"/>
  <c r="CD58" i="1"/>
  <c r="CC58" i="1"/>
  <c r="BS58" i="1"/>
  <c r="BR58" i="1"/>
  <c r="BP58" i="1"/>
  <c r="BO58" i="1"/>
  <c r="BG58" i="1"/>
  <c r="BF58" i="1"/>
  <c r="AZ58" i="1"/>
  <c r="AY58" i="1"/>
  <c r="AJ58" i="1"/>
  <c r="AN58" i="1" s="1"/>
  <c r="AI58" i="1"/>
  <c r="AM58" i="1" s="1"/>
  <c r="V58" i="1"/>
  <c r="U58" i="1"/>
  <c r="Q58" i="1"/>
  <c r="P58" i="1"/>
  <c r="O58" i="1"/>
  <c r="N58" i="1"/>
  <c r="KQ57" i="1"/>
  <c r="KP57" i="1"/>
  <c r="KG57" i="1"/>
  <c r="KF57" i="1"/>
  <c r="JG57" i="1"/>
  <c r="JF57" i="1"/>
  <c r="IL57" i="1"/>
  <c r="IK57" i="1"/>
  <c r="IE57" i="1"/>
  <c r="ID57" i="1"/>
  <c r="HQ57" i="1"/>
  <c r="HP57" i="1"/>
  <c r="GT57" i="1"/>
  <c r="GS57" i="1"/>
  <c r="GC57" i="1"/>
  <c r="GB57" i="1"/>
  <c r="FR57" i="1"/>
  <c r="FQ57" i="1"/>
  <c r="FI57" i="1"/>
  <c r="FH57" i="1"/>
  <c r="EZ57" i="1"/>
  <c r="EY57" i="1"/>
  <c r="EL57" i="1"/>
  <c r="EK57" i="1"/>
  <c r="CY57" i="1"/>
  <c r="DW57" i="1" s="1"/>
  <c r="CX57" i="1"/>
  <c r="DV57" i="1" s="1"/>
  <c r="CO57" i="1"/>
  <c r="CN57" i="1"/>
  <c r="CF57" i="1"/>
  <c r="CE57" i="1"/>
  <c r="BY57" i="1"/>
  <c r="BX57" i="1"/>
  <c r="BP57" i="1"/>
  <c r="BO57" i="1"/>
  <c r="AV57" i="1"/>
  <c r="BG57" i="1" s="1"/>
  <c r="AU57" i="1"/>
  <c r="AY57" i="1" s="1"/>
  <c r="AJ57" i="1"/>
  <c r="AN57" i="1" s="1"/>
  <c r="AI57" i="1"/>
  <c r="AM57" i="1" s="1"/>
  <c r="V57" i="1"/>
  <c r="AB57" i="1" s="1"/>
  <c r="U57" i="1"/>
  <c r="AA57" i="1" s="1"/>
  <c r="Q57" i="1"/>
  <c r="P57" i="1"/>
  <c r="O57" i="1"/>
  <c r="N57" i="1"/>
  <c r="KQ56" i="1"/>
  <c r="KP56" i="1"/>
  <c r="KG56" i="1"/>
  <c r="KF56" i="1"/>
  <c r="JG56" i="1"/>
  <c r="JF56" i="1"/>
  <c r="IL56" i="1"/>
  <c r="IK56" i="1"/>
  <c r="IE56" i="1"/>
  <c r="ID56" i="1"/>
  <c r="HQ56" i="1"/>
  <c r="HP56" i="1"/>
  <c r="GT56" i="1"/>
  <c r="GS56" i="1"/>
  <c r="GC56" i="1"/>
  <c r="GB56" i="1"/>
  <c r="FR56" i="1"/>
  <c r="FQ56" i="1"/>
  <c r="FI56" i="1"/>
  <c r="FH56" i="1"/>
  <c r="EZ56" i="1"/>
  <c r="EY56" i="1"/>
  <c r="EL56" i="1"/>
  <c r="EK56" i="1"/>
  <c r="DW56" i="1"/>
  <c r="DV56" i="1"/>
  <c r="CO56" i="1"/>
  <c r="CN56" i="1"/>
  <c r="CF56" i="1"/>
  <c r="CE56" i="1"/>
  <c r="BY56" i="1"/>
  <c r="BX56" i="1"/>
  <c r="BP56" i="1"/>
  <c r="BO56" i="1"/>
  <c r="BG56" i="1"/>
  <c r="BF56" i="1"/>
  <c r="AZ56" i="1"/>
  <c r="AY56" i="1"/>
  <c r="AN56" i="1"/>
  <c r="AM56" i="1"/>
  <c r="V56" i="1"/>
  <c r="AQ56" i="1" s="1"/>
  <c r="U56" i="1"/>
  <c r="AA56" i="1" s="1"/>
  <c r="O56" i="1"/>
  <c r="N56" i="1"/>
  <c r="H56" i="1"/>
  <c r="Q56" i="1" s="1"/>
  <c r="G56" i="1"/>
  <c r="P56" i="1" s="1"/>
  <c r="KK55" i="1"/>
  <c r="KK62" i="1" s="1"/>
  <c r="KQ62" i="1" s="1"/>
  <c r="KJ55" i="1"/>
  <c r="KJ62" i="1" s="1"/>
  <c r="KP62" i="1" s="1"/>
  <c r="KG55" i="1"/>
  <c r="KF55" i="1"/>
  <c r="IS55" i="1"/>
  <c r="IS62" i="1" s="1"/>
  <c r="JG62" i="1" s="1"/>
  <c r="IR55" i="1"/>
  <c r="IR62" i="1" s="1"/>
  <c r="JF62" i="1" s="1"/>
  <c r="IL55" i="1"/>
  <c r="IK55" i="1"/>
  <c r="IE55" i="1"/>
  <c r="ID55" i="1"/>
  <c r="HQ55" i="1"/>
  <c r="HP55" i="1"/>
  <c r="GT55" i="1"/>
  <c r="GS55" i="1"/>
  <c r="GC55" i="1"/>
  <c r="GB55" i="1"/>
  <c r="FL55" i="1"/>
  <c r="FL62" i="1" s="1"/>
  <c r="FR62" i="1" s="1"/>
  <c r="FK55" i="1"/>
  <c r="FK62" i="1" s="1"/>
  <c r="FQ62" i="1" s="1"/>
  <c r="FI55" i="1"/>
  <c r="FH55" i="1"/>
  <c r="EV55" i="1"/>
  <c r="EZ55" i="1" s="1"/>
  <c r="EU55" i="1"/>
  <c r="EY55" i="1" s="1"/>
  <c r="EL55" i="1"/>
  <c r="EK55" i="1"/>
  <c r="CY55" i="1"/>
  <c r="CX55" i="1"/>
  <c r="CO55" i="1"/>
  <c r="CN55" i="1"/>
  <c r="CD55" i="1"/>
  <c r="CD62" i="1" s="1"/>
  <c r="CC55" i="1"/>
  <c r="CC62" i="1" s="1"/>
  <c r="BY55" i="1"/>
  <c r="BX55" i="1"/>
  <c r="BP55" i="1"/>
  <c r="BO55" i="1"/>
  <c r="BE55" i="1"/>
  <c r="BE62" i="1" s="1"/>
  <c r="BD55" i="1"/>
  <c r="BD62" i="1" s="1"/>
  <c r="AV55" i="1"/>
  <c r="AU55" i="1"/>
  <c r="AJ55" i="1"/>
  <c r="AN55" i="1" s="1"/>
  <c r="AI55" i="1"/>
  <c r="AM55" i="1" s="1"/>
  <c r="AE55" i="1"/>
  <c r="AD55" i="1"/>
  <c r="X55" i="1"/>
  <c r="W55" i="1"/>
  <c r="V55" i="1"/>
  <c r="U55" i="1"/>
  <c r="O55" i="1"/>
  <c r="N55" i="1"/>
  <c r="H55" i="1"/>
  <c r="G55" i="1"/>
  <c r="KQ54" i="1"/>
  <c r="KP54" i="1"/>
  <c r="KG54" i="1"/>
  <c r="KF54" i="1"/>
  <c r="JG54" i="1"/>
  <c r="JF54" i="1"/>
  <c r="IL54" i="1"/>
  <c r="IK54" i="1"/>
  <c r="IE54" i="1"/>
  <c r="ID54" i="1"/>
  <c r="HQ54" i="1"/>
  <c r="HP54" i="1"/>
  <c r="GT54" i="1"/>
  <c r="GS54" i="1"/>
  <c r="GC54" i="1"/>
  <c r="GB54" i="1"/>
  <c r="FR54" i="1"/>
  <c r="FQ54" i="1"/>
  <c r="FI54" i="1"/>
  <c r="FH54" i="1"/>
  <c r="EV54" i="1"/>
  <c r="EU54" i="1"/>
  <c r="EL54" i="1"/>
  <c r="EK54" i="1"/>
  <c r="DW54" i="1"/>
  <c r="DV54" i="1"/>
  <c r="CO54" i="1"/>
  <c r="CN54" i="1"/>
  <c r="BS54" i="1"/>
  <c r="BS62" i="1" s="1"/>
  <c r="BR54" i="1"/>
  <c r="BR62" i="1" s="1"/>
  <c r="BP54" i="1"/>
  <c r="BO54" i="1"/>
  <c r="BG54" i="1"/>
  <c r="BF54" i="1"/>
  <c r="AZ54" i="1"/>
  <c r="AY54" i="1"/>
  <c r="AJ54" i="1"/>
  <c r="AJ62" i="1" s="1"/>
  <c r="AI54" i="1"/>
  <c r="AI62" i="1" s="1"/>
  <c r="AM62" i="1" s="1"/>
  <c r="AE54" i="1"/>
  <c r="AE62" i="1" s="1"/>
  <c r="AD54" i="1"/>
  <c r="AD62" i="1" s="1"/>
  <c r="X54" i="1"/>
  <c r="X62" i="1" s="1"/>
  <c r="W54" i="1"/>
  <c r="W62" i="1" s="1"/>
  <c r="V54" i="1"/>
  <c r="U54" i="1"/>
  <c r="Q54" i="1"/>
  <c r="P54" i="1"/>
  <c r="O54" i="1"/>
  <c r="N54" i="1"/>
  <c r="KQ53" i="1"/>
  <c r="KP53" i="1"/>
  <c r="KG53" i="1"/>
  <c r="KF53" i="1"/>
  <c r="IS53" i="1"/>
  <c r="JG53" i="1" s="1"/>
  <c r="IR53" i="1"/>
  <c r="JF53" i="1" s="1"/>
  <c r="IL53" i="1"/>
  <c r="IK53" i="1"/>
  <c r="IE53" i="1"/>
  <c r="ID53" i="1"/>
  <c r="HA53" i="1"/>
  <c r="HQ53" i="1" s="1"/>
  <c r="GZ53" i="1"/>
  <c r="HP53" i="1" s="1"/>
  <c r="GT53" i="1"/>
  <c r="GS53" i="1"/>
  <c r="GC53" i="1"/>
  <c r="GB53" i="1"/>
  <c r="FR53" i="1"/>
  <c r="FQ53" i="1"/>
  <c r="FI53" i="1"/>
  <c r="FH53" i="1"/>
  <c r="EV53" i="1"/>
  <c r="EV61" i="1" s="1"/>
  <c r="EZ61" i="1" s="1"/>
  <c r="EU53" i="1"/>
  <c r="EL53" i="1"/>
  <c r="EK53" i="1"/>
  <c r="DW53" i="1"/>
  <c r="DV53" i="1"/>
  <c r="CO53" i="1"/>
  <c r="CN53" i="1"/>
  <c r="BS53" i="1"/>
  <c r="BS61" i="1" s="1"/>
  <c r="BR53" i="1"/>
  <c r="BR61" i="1" s="1"/>
  <c r="BX61" i="1" s="1"/>
  <c r="BP53" i="1"/>
  <c r="BO53" i="1"/>
  <c r="BE53" i="1"/>
  <c r="BD53" i="1"/>
  <c r="BC53" i="1"/>
  <c r="BC61" i="1" s="1"/>
  <c r="BB53" i="1"/>
  <c r="BB61" i="1" s="1"/>
  <c r="AV53" i="1"/>
  <c r="AV61" i="1" s="1"/>
  <c r="AU53" i="1"/>
  <c r="AU61" i="1" s="1"/>
  <c r="AJ53" i="1"/>
  <c r="AN53" i="1" s="1"/>
  <c r="AI53" i="1"/>
  <c r="AM53" i="1" s="1"/>
  <c r="X53" i="1"/>
  <c r="W53" i="1"/>
  <c r="V53" i="1"/>
  <c r="U53" i="1"/>
  <c r="O53" i="1"/>
  <c r="N53" i="1"/>
  <c r="H53" i="1"/>
  <c r="G53" i="1"/>
  <c r="F53" i="1"/>
  <c r="F61" i="1" s="1"/>
  <c r="E53" i="1"/>
  <c r="E61" i="1" s="1"/>
  <c r="KQ52" i="1"/>
  <c r="KP52" i="1"/>
  <c r="KG52" i="1"/>
  <c r="KF52" i="1"/>
  <c r="IS52" i="1"/>
  <c r="JG52" i="1" s="1"/>
  <c r="IR52" i="1"/>
  <c r="JF52" i="1" s="1"/>
  <c r="IL52" i="1"/>
  <c r="IK52" i="1"/>
  <c r="IE52" i="1"/>
  <c r="ID52" i="1"/>
  <c r="HQ52" i="1"/>
  <c r="HP52" i="1"/>
  <c r="GT52" i="1"/>
  <c r="GS52" i="1"/>
  <c r="GC52" i="1"/>
  <c r="GB52" i="1"/>
  <c r="FR52" i="1"/>
  <c r="FQ52" i="1"/>
  <c r="FC52" i="1"/>
  <c r="FC61" i="1" s="1"/>
  <c r="FB52" i="1"/>
  <c r="FB61" i="1" s="1"/>
  <c r="EZ52" i="1"/>
  <c r="EY52" i="1"/>
  <c r="EL52" i="1"/>
  <c r="EK52" i="1"/>
  <c r="DW52" i="1"/>
  <c r="DV52" i="1"/>
  <c r="CO52" i="1"/>
  <c r="CN52" i="1"/>
  <c r="CF52" i="1"/>
  <c r="CE52" i="1"/>
  <c r="BY52" i="1"/>
  <c r="BX52" i="1"/>
  <c r="BP52" i="1"/>
  <c r="BO52" i="1"/>
  <c r="BE52" i="1"/>
  <c r="BE61" i="1" s="1"/>
  <c r="BD52" i="1"/>
  <c r="BD61" i="1" s="1"/>
  <c r="AZ52" i="1"/>
  <c r="AY52" i="1"/>
  <c r="AN52" i="1"/>
  <c r="AM52" i="1"/>
  <c r="X52" i="1"/>
  <c r="AQ52" i="1" s="1"/>
  <c r="W52" i="1"/>
  <c r="AP52" i="1" s="1"/>
  <c r="K52" i="1"/>
  <c r="K61" i="1" s="1"/>
  <c r="J52" i="1"/>
  <c r="J61" i="1" s="1"/>
  <c r="N61" i="1" s="1"/>
  <c r="KQ51" i="1"/>
  <c r="KP51" i="1"/>
  <c r="KG51" i="1"/>
  <c r="KF51" i="1"/>
  <c r="JG51" i="1"/>
  <c r="JF51" i="1"/>
  <c r="IL51" i="1"/>
  <c r="IK51" i="1"/>
  <c r="IE51" i="1"/>
  <c r="ID51" i="1"/>
  <c r="HQ51" i="1"/>
  <c r="HP51" i="1"/>
  <c r="GT51" i="1"/>
  <c r="GS51" i="1"/>
  <c r="GC51" i="1"/>
  <c r="GB51" i="1"/>
  <c r="FR51" i="1"/>
  <c r="FQ51" i="1"/>
  <c r="FI51" i="1"/>
  <c r="FH51" i="1"/>
  <c r="EZ51" i="1"/>
  <c r="EY51" i="1"/>
  <c r="EL51" i="1"/>
  <c r="EK51" i="1"/>
  <c r="DW51" i="1"/>
  <c r="DV51" i="1"/>
  <c r="CO51" i="1"/>
  <c r="CN51" i="1"/>
  <c r="CF51" i="1"/>
  <c r="CE51" i="1"/>
  <c r="BY51" i="1"/>
  <c r="BX51" i="1"/>
  <c r="BP51" i="1"/>
  <c r="BO51" i="1"/>
  <c r="BG51" i="1"/>
  <c r="BF51" i="1"/>
  <c r="AZ51" i="1"/>
  <c r="AY51" i="1"/>
  <c r="AJ51" i="1"/>
  <c r="AN51" i="1" s="1"/>
  <c r="AI51" i="1"/>
  <c r="AM51" i="1" s="1"/>
  <c r="X51" i="1"/>
  <c r="W51" i="1"/>
  <c r="V51" i="1"/>
  <c r="U51" i="1"/>
  <c r="O51" i="1"/>
  <c r="N51" i="1"/>
  <c r="H51" i="1"/>
  <c r="Q51" i="1" s="1"/>
  <c r="G51" i="1"/>
  <c r="P51" i="1" s="1"/>
  <c r="KK50" i="1"/>
  <c r="KK61" i="1" s="1"/>
  <c r="KQ61" i="1" s="1"/>
  <c r="KJ50" i="1"/>
  <c r="KJ61" i="1" s="1"/>
  <c r="KP61" i="1" s="1"/>
  <c r="KG50" i="1"/>
  <c r="KF50" i="1"/>
  <c r="IS50" i="1"/>
  <c r="IR50" i="1"/>
  <c r="IO50" i="1"/>
  <c r="IO61" i="1" s="1"/>
  <c r="IN50" i="1"/>
  <c r="IN61" i="1" s="1"/>
  <c r="IL50" i="1"/>
  <c r="IK50" i="1"/>
  <c r="IE50" i="1"/>
  <c r="ID50" i="1"/>
  <c r="HA50" i="1"/>
  <c r="HA61" i="1" s="1"/>
  <c r="HQ61" i="1" s="1"/>
  <c r="GZ50" i="1"/>
  <c r="GZ61" i="1" s="1"/>
  <c r="HP61" i="1" s="1"/>
  <c r="GF50" i="1"/>
  <c r="GF61" i="1" s="1"/>
  <c r="GE50" i="1"/>
  <c r="GE61" i="1" s="1"/>
  <c r="GC50" i="1"/>
  <c r="GB50" i="1"/>
  <c r="FR50" i="1"/>
  <c r="FQ50" i="1"/>
  <c r="FI50" i="1"/>
  <c r="FH50" i="1"/>
  <c r="EZ50" i="1"/>
  <c r="EY50" i="1"/>
  <c r="EL50" i="1"/>
  <c r="EK50" i="1"/>
  <c r="DW50" i="1"/>
  <c r="DV50" i="1"/>
  <c r="CO50" i="1"/>
  <c r="CN50" i="1"/>
  <c r="CD50" i="1"/>
  <c r="CD61" i="1" s="1"/>
  <c r="CC50" i="1"/>
  <c r="CC61" i="1" s="1"/>
  <c r="BY50" i="1"/>
  <c r="BX50" i="1"/>
  <c r="BP50" i="1"/>
  <c r="BO50" i="1"/>
  <c r="BG50" i="1"/>
  <c r="BF50" i="1"/>
  <c r="AZ50" i="1"/>
  <c r="AY50" i="1"/>
  <c r="AJ50" i="1"/>
  <c r="AI50" i="1"/>
  <c r="AE50" i="1"/>
  <c r="AE61" i="1" s="1"/>
  <c r="AD50" i="1"/>
  <c r="AD61" i="1" s="1"/>
  <c r="X50" i="1"/>
  <c r="W50" i="1"/>
  <c r="V50" i="1"/>
  <c r="U50" i="1"/>
  <c r="O50" i="1"/>
  <c r="N50" i="1"/>
  <c r="H50" i="1"/>
  <c r="G50" i="1"/>
  <c r="KK49" i="1"/>
  <c r="KQ49" i="1" s="1"/>
  <c r="KJ49" i="1"/>
  <c r="KP49" i="1" s="1"/>
  <c r="KG49" i="1"/>
  <c r="KF49" i="1"/>
  <c r="JG49" i="1"/>
  <c r="JF49" i="1"/>
  <c r="IL49" i="1"/>
  <c r="IK49" i="1"/>
  <c r="IE49" i="1"/>
  <c r="ID49" i="1"/>
  <c r="HQ49" i="1"/>
  <c r="HP49" i="1"/>
  <c r="GF49" i="1"/>
  <c r="GT49" i="1" s="1"/>
  <c r="GE49" i="1"/>
  <c r="GS49" i="1" s="1"/>
  <c r="GC49" i="1"/>
  <c r="GB49" i="1"/>
  <c r="FR49" i="1"/>
  <c r="FQ49" i="1"/>
  <c r="FI49" i="1"/>
  <c r="FH49" i="1"/>
  <c r="EZ49" i="1"/>
  <c r="EY49" i="1"/>
  <c r="EL49" i="1"/>
  <c r="EK49" i="1"/>
  <c r="DW49" i="1"/>
  <c r="DV49" i="1"/>
  <c r="CO49" i="1"/>
  <c r="CN49" i="1"/>
  <c r="CF49" i="1"/>
  <c r="CE49" i="1"/>
  <c r="BY49" i="1"/>
  <c r="BX49" i="1"/>
  <c r="BP49" i="1"/>
  <c r="BO49" i="1"/>
  <c r="BE49" i="1"/>
  <c r="BG49" i="1" s="1"/>
  <c r="BD49" i="1"/>
  <c r="BF49" i="1" s="1"/>
  <c r="AZ49" i="1"/>
  <c r="AY49" i="1"/>
  <c r="AJ49" i="1"/>
  <c r="AN49" i="1" s="1"/>
  <c r="AI49" i="1"/>
  <c r="AM49" i="1" s="1"/>
  <c r="X49" i="1"/>
  <c r="W49" i="1"/>
  <c r="V49" i="1"/>
  <c r="U49" i="1"/>
  <c r="O49" i="1"/>
  <c r="N49" i="1"/>
  <c r="H49" i="1"/>
  <c r="G49" i="1"/>
  <c r="F49" i="1"/>
  <c r="E49" i="1"/>
  <c r="KK48" i="1"/>
  <c r="KQ48" i="1" s="1"/>
  <c r="KJ48" i="1"/>
  <c r="KP48" i="1" s="1"/>
  <c r="KG48" i="1"/>
  <c r="KF48" i="1"/>
  <c r="JG48" i="1"/>
  <c r="JF48" i="1"/>
  <c r="IL48" i="1"/>
  <c r="IK48" i="1"/>
  <c r="IE48" i="1"/>
  <c r="ID48" i="1"/>
  <c r="HQ48" i="1"/>
  <c r="HP48" i="1"/>
  <c r="GT48" i="1"/>
  <c r="GS48" i="1"/>
  <c r="GC48" i="1"/>
  <c r="GB48" i="1"/>
  <c r="FR48" i="1"/>
  <c r="FQ48" i="1"/>
  <c r="FI48" i="1"/>
  <c r="FH48" i="1"/>
  <c r="EZ48" i="1"/>
  <c r="EY48" i="1"/>
  <c r="EL48" i="1"/>
  <c r="EK48" i="1"/>
  <c r="DW48" i="1"/>
  <c r="DV48" i="1"/>
  <c r="CO48" i="1"/>
  <c r="CN48" i="1"/>
  <c r="BS48" i="1"/>
  <c r="BR48" i="1"/>
  <c r="BX48" i="1" s="1"/>
  <c r="BP48" i="1"/>
  <c r="BO48" i="1"/>
  <c r="BG48" i="1"/>
  <c r="BF48" i="1"/>
  <c r="AZ48" i="1"/>
  <c r="AY48" i="1"/>
  <c r="AJ48" i="1"/>
  <c r="AN48" i="1" s="1"/>
  <c r="AI48" i="1"/>
  <c r="AM48" i="1" s="1"/>
  <c r="X48" i="1"/>
  <c r="W48" i="1"/>
  <c r="V48" i="1"/>
  <c r="U48" i="1"/>
  <c r="O48" i="1"/>
  <c r="N48" i="1"/>
  <c r="H48" i="1"/>
  <c r="Q48" i="1" s="1"/>
  <c r="G48" i="1"/>
  <c r="P48" i="1" s="1"/>
  <c r="KK47" i="1"/>
  <c r="KQ47" i="1" s="1"/>
  <c r="KJ47" i="1"/>
  <c r="KP47" i="1" s="1"/>
  <c r="KG47" i="1"/>
  <c r="KF47" i="1"/>
  <c r="IS47" i="1"/>
  <c r="JG47" i="1" s="1"/>
  <c r="IR47" i="1"/>
  <c r="JF47" i="1" s="1"/>
  <c r="IH47" i="1"/>
  <c r="IL47" i="1" s="1"/>
  <c r="IG47" i="1"/>
  <c r="IK47" i="1" s="1"/>
  <c r="HU47" i="1"/>
  <c r="IE47" i="1" s="1"/>
  <c r="HT47" i="1"/>
  <c r="ID47" i="1" s="1"/>
  <c r="HQ47" i="1"/>
  <c r="HP47" i="1"/>
  <c r="GT47" i="1"/>
  <c r="GS47" i="1"/>
  <c r="GC47" i="1"/>
  <c r="GB47" i="1"/>
  <c r="FR47" i="1"/>
  <c r="FQ47" i="1"/>
  <c r="FI47" i="1"/>
  <c r="FH47" i="1"/>
  <c r="EZ47" i="1"/>
  <c r="EY47" i="1"/>
  <c r="EL47" i="1"/>
  <c r="EK47" i="1"/>
  <c r="DW47" i="1"/>
  <c r="DV47" i="1"/>
  <c r="CO47" i="1"/>
  <c r="CN47" i="1"/>
  <c r="CD47" i="1"/>
  <c r="CC47" i="1"/>
  <c r="BS47" i="1"/>
  <c r="BY47" i="1" s="1"/>
  <c r="BR47" i="1"/>
  <c r="BP47" i="1"/>
  <c r="BO47" i="1"/>
  <c r="BG47" i="1"/>
  <c r="BF47" i="1"/>
  <c r="AZ47" i="1"/>
  <c r="AY47" i="1"/>
  <c r="AJ47" i="1"/>
  <c r="AN47" i="1" s="1"/>
  <c r="AI47" i="1"/>
  <c r="AM47" i="1" s="1"/>
  <c r="X47" i="1"/>
  <c r="W47" i="1"/>
  <c r="V47" i="1"/>
  <c r="U47" i="1"/>
  <c r="O47" i="1"/>
  <c r="N47" i="1"/>
  <c r="H47" i="1"/>
  <c r="Q47" i="1" s="1"/>
  <c r="G47" i="1"/>
  <c r="P47" i="1" s="1"/>
  <c r="KQ46" i="1"/>
  <c r="KP46" i="1"/>
  <c r="KG46" i="1"/>
  <c r="KF46" i="1"/>
  <c r="JG46" i="1"/>
  <c r="JF46" i="1"/>
  <c r="IL46" i="1"/>
  <c r="IK46" i="1"/>
  <c r="IE46" i="1"/>
  <c r="ID46" i="1"/>
  <c r="HQ46" i="1"/>
  <c r="HP46" i="1"/>
  <c r="GT46" i="1"/>
  <c r="GS46" i="1"/>
  <c r="GC46" i="1"/>
  <c r="GB46" i="1"/>
  <c r="FR46" i="1"/>
  <c r="FQ46" i="1"/>
  <c r="FI46" i="1"/>
  <c r="FH46" i="1"/>
  <c r="EZ46" i="1"/>
  <c r="EY46" i="1"/>
  <c r="EL46" i="1"/>
  <c r="EK46" i="1"/>
  <c r="DW46" i="1"/>
  <c r="DV46" i="1"/>
  <c r="CO46" i="1"/>
  <c r="CN46" i="1"/>
  <c r="CF46" i="1"/>
  <c r="CE46" i="1"/>
  <c r="BY46" i="1"/>
  <c r="BX46" i="1"/>
  <c r="BP46" i="1"/>
  <c r="BO46" i="1"/>
  <c r="BG46" i="1"/>
  <c r="BF46" i="1"/>
  <c r="AZ46" i="1"/>
  <c r="AY46" i="1"/>
  <c r="AN46" i="1"/>
  <c r="AM46" i="1"/>
  <c r="X46" i="1"/>
  <c r="W46" i="1"/>
  <c r="V46" i="1"/>
  <c r="U46" i="1"/>
  <c r="Q46" i="1"/>
  <c r="P46" i="1"/>
  <c r="O46" i="1"/>
  <c r="N46" i="1"/>
  <c r="CU60" i="1"/>
  <c r="CU63" i="1" s="1"/>
  <c r="KQ44" i="1"/>
  <c r="KP44" i="1"/>
  <c r="KG44" i="1"/>
  <c r="KF44" i="1"/>
  <c r="JG44" i="1"/>
  <c r="JF44" i="1"/>
  <c r="IL44" i="1"/>
  <c r="IK44" i="1"/>
  <c r="IE44" i="1"/>
  <c r="ID44" i="1"/>
  <c r="HQ44" i="1"/>
  <c r="HP44" i="1"/>
  <c r="GT44" i="1"/>
  <c r="GS44" i="1"/>
  <c r="FU44" i="1"/>
  <c r="GC44" i="1" s="1"/>
  <c r="FT44" i="1"/>
  <c r="GB44" i="1" s="1"/>
  <c r="FR44" i="1"/>
  <c r="FQ44" i="1"/>
  <c r="FI44" i="1"/>
  <c r="FH44" i="1"/>
  <c r="EZ44" i="1"/>
  <c r="EY44" i="1"/>
  <c r="EL44" i="1"/>
  <c r="EK44" i="1"/>
  <c r="CY44" i="1"/>
  <c r="DW44" i="1" s="1"/>
  <c r="CX44" i="1"/>
  <c r="DV44" i="1" s="1"/>
  <c r="CO44" i="1"/>
  <c r="CN44" i="1"/>
  <c r="CF44" i="1"/>
  <c r="CE44" i="1"/>
  <c r="BY44" i="1"/>
  <c r="BX44" i="1"/>
  <c r="BP44" i="1"/>
  <c r="BO44" i="1"/>
  <c r="BE44" i="1"/>
  <c r="BG44" i="1" s="1"/>
  <c r="BD44" i="1"/>
  <c r="BF44" i="1" s="1"/>
  <c r="AZ44" i="1"/>
  <c r="AY44" i="1"/>
  <c r="AN44" i="1"/>
  <c r="AM44" i="1"/>
  <c r="V44" i="1"/>
  <c r="AQ44" i="1" s="1"/>
  <c r="U44" i="1"/>
  <c r="AP44" i="1" s="1"/>
  <c r="Q44" i="1"/>
  <c r="P44" i="1"/>
  <c r="O44" i="1"/>
  <c r="N44" i="1"/>
  <c r="KK43" i="1"/>
  <c r="KQ43" i="1" s="1"/>
  <c r="KJ43" i="1"/>
  <c r="KP43" i="1" s="1"/>
  <c r="KG43" i="1"/>
  <c r="KF43" i="1"/>
  <c r="JG43" i="1"/>
  <c r="JF43" i="1"/>
  <c r="IL43" i="1"/>
  <c r="IK43" i="1"/>
  <c r="IE43" i="1"/>
  <c r="ID43" i="1"/>
  <c r="HQ43" i="1"/>
  <c r="HP43" i="1"/>
  <c r="GT43" i="1"/>
  <c r="GS43" i="1"/>
  <c r="GC43" i="1"/>
  <c r="GB43" i="1"/>
  <c r="FR43" i="1"/>
  <c r="FQ43" i="1"/>
  <c r="FI43" i="1"/>
  <c r="FH43" i="1"/>
  <c r="EZ43" i="1"/>
  <c r="EY43" i="1"/>
  <c r="EL43" i="1"/>
  <c r="EK43" i="1"/>
  <c r="CY43" i="1"/>
  <c r="DW43" i="1" s="1"/>
  <c r="CX43" i="1"/>
  <c r="DV43" i="1" s="1"/>
  <c r="CO43" i="1"/>
  <c r="CN43" i="1"/>
  <c r="BS43" i="1"/>
  <c r="BY43" i="1" s="1"/>
  <c r="BR43" i="1"/>
  <c r="CE43" i="1" s="1"/>
  <c r="BP43" i="1"/>
  <c r="BO43" i="1"/>
  <c r="BE43" i="1"/>
  <c r="BG43" i="1" s="1"/>
  <c r="BD43" i="1"/>
  <c r="BF43" i="1" s="1"/>
  <c r="AZ43" i="1"/>
  <c r="AY43" i="1"/>
  <c r="AJ43" i="1"/>
  <c r="AN43" i="1" s="1"/>
  <c r="AI43" i="1"/>
  <c r="AM43" i="1" s="1"/>
  <c r="V43" i="1"/>
  <c r="AB43" i="1" s="1"/>
  <c r="U43" i="1"/>
  <c r="AA43" i="1" s="1"/>
  <c r="Q43" i="1"/>
  <c r="P43" i="1"/>
  <c r="O43" i="1"/>
  <c r="N43" i="1"/>
  <c r="KK42" i="1"/>
  <c r="KQ42" i="1" s="1"/>
  <c r="KJ42" i="1"/>
  <c r="KP42" i="1" s="1"/>
  <c r="KG42" i="1"/>
  <c r="KF42" i="1"/>
  <c r="JG42" i="1"/>
  <c r="JF42" i="1"/>
  <c r="IH42" i="1"/>
  <c r="IL42" i="1" s="1"/>
  <c r="IG42" i="1"/>
  <c r="IK42" i="1" s="1"/>
  <c r="IE42" i="1"/>
  <c r="ID42" i="1"/>
  <c r="HQ42" i="1"/>
  <c r="HP42" i="1"/>
  <c r="GF42" i="1"/>
  <c r="GT42" i="1" s="1"/>
  <c r="GE42" i="1"/>
  <c r="GS42" i="1" s="1"/>
  <c r="GC42" i="1"/>
  <c r="GB42" i="1"/>
  <c r="FR42" i="1"/>
  <c r="FQ42" i="1"/>
  <c r="FI42" i="1"/>
  <c r="FH42" i="1"/>
  <c r="EZ42" i="1"/>
  <c r="EY42" i="1"/>
  <c r="EL42" i="1"/>
  <c r="EK42" i="1"/>
  <c r="DW42" i="1"/>
  <c r="DV42" i="1"/>
  <c r="CO42" i="1"/>
  <c r="CN42" i="1"/>
  <c r="CF42" i="1"/>
  <c r="CE42" i="1"/>
  <c r="BY42" i="1"/>
  <c r="BX42" i="1"/>
  <c r="BP42" i="1"/>
  <c r="BO42" i="1"/>
  <c r="AV42" i="1"/>
  <c r="AU42" i="1"/>
  <c r="AY42" i="1" s="1"/>
  <c r="AJ42" i="1"/>
  <c r="AN42" i="1" s="1"/>
  <c r="AI42" i="1"/>
  <c r="AM42" i="1" s="1"/>
  <c r="AG42" i="1"/>
  <c r="AF42" i="1"/>
  <c r="AE42" i="1"/>
  <c r="AD42" i="1"/>
  <c r="X42" i="1"/>
  <c r="W42" i="1"/>
  <c r="V42" i="1"/>
  <c r="U42" i="1"/>
  <c r="Q42" i="1"/>
  <c r="P42" i="1"/>
  <c r="O42" i="1"/>
  <c r="N42" i="1"/>
  <c r="KK41" i="1"/>
  <c r="KQ41" i="1" s="1"/>
  <c r="KJ41" i="1"/>
  <c r="KP41" i="1" s="1"/>
  <c r="KG41" i="1"/>
  <c r="KF41" i="1"/>
  <c r="JG41" i="1"/>
  <c r="JF41" i="1"/>
  <c r="IL41" i="1"/>
  <c r="IK41" i="1"/>
  <c r="IE41" i="1"/>
  <c r="ID41" i="1"/>
  <c r="HQ41" i="1"/>
  <c r="HP41" i="1"/>
  <c r="GT41" i="1"/>
  <c r="GS41" i="1"/>
  <c r="FU41" i="1"/>
  <c r="GC41" i="1" s="1"/>
  <c r="FT41" i="1"/>
  <c r="GB41" i="1" s="1"/>
  <c r="FR41" i="1"/>
  <c r="FQ41" i="1"/>
  <c r="FI41" i="1"/>
  <c r="FH41" i="1"/>
  <c r="EZ41" i="1"/>
  <c r="EY41" i="1"/>
  <c r="EL41" i="1"/>
  <c r="EK41" i="1"/>
  <c r="DW41" i="1"/>
  <c r="DV41" i="1"/>
  <c r="CO41" i="1"/>
  <c r="CN41" i="1"/>
  <c r="BS41" i="1"/>
  <c r="BY41" i="1" s="1"/>
  <c r="BR41" i="1"/>
  <c r="BP41" i="1"/>
  <c r="BO41" i="1"/>
  <c r="BE41" i="1"/>
  <c r="BD41" i="1"/>
  <c r="AV41" i="1"/>
  <c r="AZ41" i="1" s="1"/>
  <c r="AU41" i="1"/>
  <c r="AJ41" i="1"/>
  <c r="AN41" i="1" s="1"/>
  <c r="AI41" i="1"/>
  <c r="AM41" i="1" s="1"/>
  <c r="X41" i="1"/>
  <c r="W41" i="1"/>
  <c r="V41" i="1"/>
  <c r="U41" i="1"/>
  <c r="O41" i="1"/>
  <c r="N41" i="1"/>
  <c r="H41" i="1"/>
  <c r="Q41" i="1" s="1"/>
  <c r="G41" i="1"/>
  <c r="P41" i="1" s="1"/>
  <c r="KQ40" i="1"/>
  <c r="KP40" i="1"/>
  <c r="KG40" i="1"/>
  <c r="KF40" i="1"/>
  <c r="JG40" i="1"/>
  <c r="JF40" i="1"/>
  <c r="IL40" i="1"/>
  <c r="IK40" i="1"/>
  <c r="IE40" i="1"/>
  <c r="ID40" i="1"/>
  <c r="HQ40" i="1"/>
  <c r="HP40" i="1"/>
  <c r="GT40" i="1"/>
  <c r="GS40" i="1"/>
  <c r="FU40" i="1"/>
  <c r="GC40" i="1" s="1"/>
  <c r="FT40" i="1"/>
  <c r="GB40" i="1" s="1"/>
  <c r="FL40" i="1"/>
  <c r="FR40" i="1" s="1"/>
  <c r="FK40" i="1"/>
  <c r="FQ40" i="1" s="1"/>
  <c r="FI40" i="1"/>
  <c r="FH40" i="1"/>
  <c r="EV40" i="1"/>
  <c r="EZ40" i="1" s="1"/>
  <c r="EU40" i="1"/>
  <c r="EY40" i="1" s="1"/>
  <c r="EL40" i="1"/>
  <c r="EK40" i="1"/>
  <c r="CY40" i="1"/>
  <c r="DW40" i="1" s="1"/>
  <c r="CX40" i="1"/>
  <c r="DV40" i="1" s="1"/>
  <c r="CK40" i="1"/>
  <c r="CO40" i="1" s="1"/>
  <c r="CJ40" i="1"/>
  <c r="CN40" i="1" s="1"/>
  <c r="CD40" i="1"/>
  <c r="CC40" i="1"/>
  <c r="BS40" i="1"/>
  <c r="BR40" i="1"/>
  <c r="BP40" i="1"/>
  <c r="BO40" i="1"/>
  <c r="BE40" i="1"/>
  <c r="BD40" i="1"/>
  <c r="AV40" i="1"/>
  <c r="AZ40" i="1" s="1"/>
  <c r="AU40" i="1"/>
  <c r="AJ40" i="1"/>
  <c r="AN40" i="1" s="1"/>
  <c r="AI40" i="1"/>
  <c r="AM40" i="1" s="1"/>
  <c r="X40" i="1"/>
  <c r="W40" i="1"/>
  <c r="V40" i="1"/>
  <c r="U40" i="1"/>
  <c r="O40" i="1"/>
  <c r="N40" i="1"/>
  <c r="H40" i="1"/>
  <c r="Q40" i="1" s="1"/>
  <c r="G40" i="1"/>
  <c r="P40" i="1" s="1"/>
  <c r="KK39" i="1"/>
  <c r="KQ39" i="1" s="1"/>
  <c r="KJ39" i="1"/>
  <c r="KP39" i="1" s="1"/>
  <c r="KG39" i="1"/>
  <c r="KF39" i="1"/>
  <c r="JG39" i="1"/>
  <c r="JF39" i="1"/>
  <c r="IL39" i="1"/>
  <c r="IK39" i="1"/>
  <c r="IE39" i="1"/>
  <c r="ID39" i="1"/>
  <c r="HQ39" i="1"/>
  <c r="HP39" i="1"/>
  <c r="GF39" i="1"/>
  <c r="GT39" i="1" s="1"/>
  <c r="GE39" i="1"/>
  <c r="GS39" i="1" s="1"/>
  <c r="FU39" i="1"/>
  <c r="GC39" i="1" s="1"/>
  <c r="FT39" i="1"/>
  <c r="GB39" i="1" s="1"/>
  <c r="FL39" i="1"/>
  <c r="FR39" i="1" s="1"/>
  <c r="FK39" i="1"/>
  <c r="FQ39" i="1" s="1"/>
  <c r="FI39" i="1"/>
  <c r="FH39" i="1"/>
  <c r="EV39" i="1"/>
  <c r="EZ39" i="1" s="1"/>
  <c r="EU39" i="1"/>
  <c r="EY39" i="1" s="1"/>
  <c r="EL39" i="1"/>
  <c r="EK39" i="1"/>
  <c r="CY39" i="1"/>
  <c r="DW39" i="1" s="1"/>
  <c r="CX39" i="1"/>
  <c r="DV39" i="1" s="1"/>
  <c r="CO39" i="1"/>
  <c r="CN39" i="1"/>
  <c r="CD39" i="1"/>
  <c r="CC39" i="1"/>
  <c r="BS39" i="1"/>
  <c r="BR39" i="1"/>
  <c r="BX39" i="1" s="1"/>
  <c r="BP39" i="1"/>
  <c r="BO39" i="1"/>
  <c r="BE39" i="1"/>
  <c r="BD39" i="1"/>
  <c r="AV39" i="1"/>
  <c r="AZ39" i="1" s="1"/>
  <c r="AU39" i="1"/>
  <c r="AJ39" i="1"/>
  <c r="AN39" i="1" s="1"/>
  <c r="AI39" i="1"/>
  <c r="AM39" i="1" s="1"/>
  <c r="AE39" i="1"/>
  <c r="AD39" i="1"/>
  <c r="X39" i="1"/>
  <c r="W39" i="1"/>
  <c r="V39" i="1"/>
  <c r="U39" i="1"/>
  <c r="O39" i="1"/>
  <c r="N39" i="1"/>
  <c r="H39" i="1"/>
  <c r="Q39" i="1" s="1"/>
  <c r="G39" i="1"/>
  <c r="P39" i="1" s="1"/>
  <c r="KQ38" i="1"/>
  <c r="KP38" i="1"/>
  <c r="KG38" i="1"/>
  <c r="KF38" i="1"/>
  <c r="JG38" i="1"/>
  <c r="JF38" i="1"/>
  <c r="IL38" i="1"/>
  <c r="IK38" i="1"/>
  <c r="IE38" i="1"/>
  <c r="ID38" i="1"/>
  <c r="HQ38" i="1"/>
  <c r="HP38" i="1"/>
  <c r="GF38" i="1"/>
  <c r="GT38" i="1" s="1"/>
  <c r="GE38" i="1"/>
  <c r="GS38" i="1" s="1"/>
  <c r="GC38" i="1"/>
  <c r="GB38" i="1"/>
  <c r="FR38" i="1"/>
  <c r="FQ38" i="1"/>
  <c r="FI38" i="1"/>
  <c r="FH38" i="1"/>
  <c r="EV38" i="1"/>
  <c r="EZ38" i="1" s="1"/>
  <c r="EU38" i="1"/>
  <c r="EY38" i="1" s="1"/>
  <c r="EL38" i="1"/>
  <c r="EK38" i="1"/>
  <c r="CY38" i="1"/>
  <c r="DW38" i="1" s="1"/>
  <c r="CX38" i="1"/>
  <c r="DV38" i="1" s="1"/>
  <c r="CK38" i="1"/>
  <c r="CO38" i="1" s="1"/>
  <c r="CJ38" i="1"/>
  <c r="CN38" i="1" s="1"/>
  <c r="CD38" i="1"/>
  <c r="CC38" i="1"/>
  <c r="CB38" i="1"/>
  <c r="CB60" i="1" s="1"/>
  <c r="CA38" i="1"/>
  <c r="CA60" i="1" s="1"/>
  <c r="CA63" i="1" s="1"/>
  <c r="BY38" i="1"/>
  <c r="BX38" i="1"/>
  <c r="BP38" i="1"/>
  <c r="BO38" i="1"/>
  <c r="BE38" i="1"/>
  <c r="BD38" i="1"/>
  <c r="AV38" i="1"/>
  <c r="AU38" i="1"/>
  <c r="AJ38" i="1"/>
  <c r="AN38" i="1" s="1"/>
  <c r="AI38" i="1"/>
  <c r="AM38" i="1" s="1"/>
  <c r="X38" i="1"/>
  <c r="W38" i="1"/>
  <c r="V38" i="1"/>
  <c r="U38" i="1"/>
  <c r="O38" i="1"/>
  <c r="N38" i="1"/>
  <c r="H38" i="1"/>
  <c r="G38" i="1"/>
  <c r="F38" i="1"/>
  <c r="E38" i="1"/>
  <c r="KK37" i="1"/>
  <c r="KQ37" i="1" s="1"/>
  <c r="KJ37" i="1"/>
  <c r="KP37" i="1" s="1"/>
  <c r="JO37" i="1"/>
  <c r="KG37" i="1" s="1"/>
  <c r="JN37" i="1"/>
  <c r="KF37" i="1" s="1"/>
  <c r="IS37" i="1"/>
  <c r="JG37" i="1" s="1"/>
  <c r="IR37" i="1"/>
  <c r="JF37" i="1" s="1"/>
  <c r="IO37" i="1"/>
  <c r="IN37" i="1"/>
  <c r="IH37" i="1"/>
  <c r="IL37" i="1" s="1"/>
  <c r="IG37" i="1"/>
  <c r="IK37" i="1" s="1"/>
  <c r="HU37" i="1"/>
  <c r="IE37" i="1" s="1"/>
  <c r="HT37" i="1"/>
  <c r="ID37" i="1" s="1"/>
  <c r="HQ37" i="1"/>
  <c r="HP37" i="1"/>
  <c r="GF37" i="1"/>
  <c r="GT37" i="1" s="1"/>
  <c r="GE37" i="1"/>
  <c r="GS37" i="1" s="1"/>
  <c r="FU37" i="1"/>
  <c r="GC37" i="1" s="1"/>
  <c r="FT37" i="1"/>
  <c r="GB37" i="1" s="1"/>
  <c r="FL37" i="1"/>
  <c r="FR37" i="1" s="1"/>
  <c r="FK37" i="1"/>
  <c r="FQ37" i="1" s="1"/>
  <c r="FI37" i="1"/>
  <c r="FH37" i="1"/>
  <c r="EV37" i="1"/>
  <c r="EZ37" i="1" s="1"/>
  <c r="EU37" i="1"/>
  <c r="EY37" i="1" s="1"/>
  <c r="EH37" i="1"/>
  <c r="EH60" i="1" s="1"/>
  <c r="EH63" i="1" s="1"/>
  <c r="EG37" i="1"/>
  <c r="EG60" i="1" s="1"/>
  <c r="EG63" i="1" s="1"/>
  <c r="CY37" i="1"/>
  <c r="DW37" i="1" s="1"/>
  <c r="CX37" i="1"/>
  <c r="DV37" i="1" s="1"/>
  <c r="CK37" i="1"/>
  <c r="CO37" i="1" s="1"/>
  <c r="CJ37" i="1"/>
  <c r="CN37" i="1" s="1"/>
  <c r="CD37" i="1"/>
  <c r="CC37" i="1"/>
  <c r="BS37" i="1"/>
  <c r="BY37" i="1" s="1"/>
  <c r="BR37" i="1"/>
  <c r="BX37" i="1" s="1"/>
  <c r="BL37" i="1"/>
  <c r="BK37" i="1"/>
  <c r="BO37" i="1" s="1"/>
  <c r="AV37" i="1"/>
  <c r="AU37" i="1"/>
  <c r="AY37" i="1" s="1"/>
  <c r="AJ37" i="1"/>
  <c r="AN37" i="1" s="1"/>
  <c r="AI37" i="1"/>
  <c r="AM37" i="1" s="1"/>
  <c r="AG37" i="1"/>
  <c r="AF37" i="1"/>
  <c r="AE37" i="1"/>
  <c r="AD37" i="1"/>
  <c r="X37" i="1"/>
  <c r="W37" i="1"/>
  <c r="V37" i="1"/>
  <c r="U37" i="1"/>
  <c r="O37" i="1"/>
  <c r="N37" i="1"/>
  <c r="H37" i="1"/>
  <c r="G37" i="1"/>
  <c r="F37" i="1"/>
  <c r="E37" i="1"/>
  <c r="KK36" i="1"/>
  <c r="KQ36" i="1" s="1"/>
  <c r="KJ36" i="1"/>
  <c r="KP36" i="1" s="1"/>
  <c r="KG36" i="1"/>
  <c r="KF36" i="1"/>
  <c r="IS36" i="1"/>
  <c r="JG36" i="1" s="1"/>
  <c r="IR36" i="1"/>
  <c r="JF36" i="1" s="1"/>
  <c r="IL36" i="1"/>
  <c r="IK36" i="1"/>
  <c r="IE36" i="1"/>
  <c r="ID36" i="1"/>
  <c r="HQ36" i="1"/>
  <c r="HP36" i="1"/>
  <c r="GF36" i="1"/>
  <c r="GT36" i="1" s="1"/>
  <c r="GE36" i="1"/>
  <c r="GS36" i="1" s="1"/>
  <c r="GC36" i="1"/>
  <c r="GB36" i="1"/>
  <c r="FR36" i="1"/>
  <c r="FQ36" i="1"/>
  <c r="FI36" i="1"/>
  <c r="FH36" i="1"/>
  <c r="EV36" i="1"/>
  <c r="EZ36" i="1" s="1"/>
  <c r="EU36" i="1"/>
  <c r="EY36" i="1" s="1"/>
  <c r="EL36" i="1"/>
  <c r="EK36" i="1"/>
  <c r="DW36" i="1"/>
  <c r="DV36" i="1"/>
  <c r="CO36" i="1"/>
  <c r="CN36" i="1"/>
  <c r="CD36" i="1"/>
  <c r="CC36" i="1"/>
  <c r="BY36" i="1"/>
  <c r="BX36" i="1"/>
  <c r="BL36" i="1"/>
  <c r="BK36" i="1"/>
  <c r="BO36" i="1" s="1"/>
  <c r="BE36" i="1"/>
  <c r="BD36" i="1"/>
  <c r="AV36" i="1"/>
  <c r="AU36" i="1"/>
  <c r="AY36" i="1" s="1"/>
  <c r="AJ36" i="1"/>
  <c r="AN36" i="1" s="1"/>
  <c r="AI36" i="1"/>
  <c r="AM36" i="1" s="1"/>
  <c r="X36" i="1"/>
  <c r="W36" i="1"/>
  <c r="V36" i="1"/>
  <c r="U36" i="1"/>
  <c r="O36" i="1"/>
  <c r="N36" i="1"/>
  <c r="H36" i="1"/>
  <c r="G36" i="1"/>
  <c r="F36" i="1"/>
  <c r="E36" i="1"/>
  <c r="KK35" i="1"/>
  <c r="KQ35" i="1" s="1"/>
  <c r="KJ35" i="1"/>
  <c r="KP35" i="1" s="1"/>
  <c r="KG35" i="1"/>
  <c r="KF35" i="1"/>
  <c r="JG35" i="1"/>
  <c r="JF35" i="1"/>
  <c r="IL35" i="1"/>
  <c r="IK35" i="1"/>
  <c r="IE35" i="1"/>
  <c r="ID35" i="1"/>
  <c r="HQ35" i="1"/>
  <c r="HP35" i="1"/>
  <c r="GF35" i="1"/>
  <c r="GT35" i="1" s="1"/>
  <c r="GE35" i="1"/>
  <c r="GS35" i="1" s="1"/>
  <c r="GC35" i="1"/>
  <c r="GB35" i="1"/>
  <c r="FR35" i="1"/>
  <c r="FQ35" i="1"/>
  <c r="FI35" i="1"/>
  <c r="FH35" i="1"/>
  <c r="EZ35" i="1"/>
  <c r="EY35" i="1"/>
  <c r="EL35" i="1"/>
  <c r="EK35" i="1"/>
  <c r="CY35" i="1"/>
  <c r="DW35" i="1" s="1"/>
  <c r="CX35" i="1"/>
  <c r="DV35" i="1" s="1"/>
  <c r="CO35" i="1"/>
  <c r="CN35" i="1"/>
  <c r="CF35" i="1"/>
  <c r="CE35" i="1"/>
  <c r="BY35" i="1"/>
  <c r="BX35" i="1"/>
  <c r="BP35" i="1"/>
  <c r="BO35" i="1"/>
  <c r="BE35" i="1"/>
  <c r="BD35" i="1"/>
  <c r="AV35" i="1"/>
  <c r="AZ35" i="1" s="1"/>
  <c r="AU35" i="1"/>
  <c r="AJ35" i="1"/>
  <c r="AN35" i="1" s="1"/>
  <c r="AI35" i="1"/>
  <c r="AM35" i="1" s="1"/>
  <c r="X35" i="1"/>
  <c r="W35" i="1"/>
  <c r="V35" i="1"/>
  <c r="U35" i="1"/>
  <c r="O35" i="1"/>
  <c r="N35" i="1"/>
  <c r="H35" i="1"/>
  <c r="Q35" i="1" s="1"/>
  <c r="G35" i="1"/>
  <c r="P35" i="1" s="1"/>
  <c r="KK34" i="1"/>
  <c r="KQ34" i="1" s="1"/>
  <c r="KJ34" i="1"/>
  <c r="KP34" i="1" s="1"/>
  <c r="KG34" i="1"/>
  <c r="KF34" i="1"/>
  <c r="IS34" i="1"/>
  <c r="JG34" i="1" s="1"/>
  <c r="IR34" i="1"/>
  <c r="JF34" i="1" s="1"/>
  <c r="IL34" i="1"/>
  <c r="IK34" i="1"/>
  <c r="IE34" i="1"/>
  <c r="ID34" i="1"/>
  <c r="HQ34" i="1"/>
  <c r="HP34" i="1"/>
  <c r="GF34" i="1"/>
  <c r="GT34" i="1" s="1"/>
  <c r="GE34" i="1"/>
  <c r="GS34" i="1" s="1"/>
  <c r="GC34" i="1"/>
  <c r="GB34" i="1"/>
  <c r="FR34" i="1"/>
  <c r="FQ34" i="1"/>
  <c r="FI34" i="1"/>
  <c r="FH34" i="1"/>
  <c r="EZ34" i="1"/>
  <c r="EY34" i="1"/>
  <c r="EL34" i="1"/>
  <c r="EK34" i="1"/>
  <c r="DW34" i="1"/>
  <c r="DV34" i="1"/>
  <c r="CK34" i="1"/>
  <c r="CO34" i="1" s="1"/>
  <c r="CJ34" i="1"/>
  <c r="CN34" i="1" s="1"/>
  <c r="CD34" i="1"/>
  <c r="CF34" i="1" s="1"/>
  <c r="CC34" i="1"/>
  <c r="CE34" i="1" s="1"/>
  <c r="BY34" i="1"/>
  <c r="BX34" i="1"/>
  <c r="BP34" i="1"/>
  <c r="BO34" i="1"/>
  <c r="BE34" i="1"/>
  <c r="BD34" i="1"/>
  <c r="AV34" i="1"/>
  <c r="AU34" i="1"/>
  <c r="AJ34" i="1"/>
  <c r="AN34" i="1" s="1"/>
  <c r="AI34" i="1"/>
  <c r="AM34" i="1" s="1"/>
  <c r="AE34" i="1"/>
  <c r="AD34" i="1"/>
  <c r="X34" i="1"/>
  <c r="W34" i="1"/>
  <c r="V34" i="1"/>
  <c r="U34" i="1"/>
  <c r="O34" i="1"/>
  <c r="N34" i="1"/>
  <c r="H34" i="1"/>
  <c r="Q34" i="1" s="1"/>
  <c r="G34" i="1"/>
  <c r="P34" i="1" s="1"/>
  <c r="KK33" i="1"/>
  <c r="KQ33" i="1" s="1"/>
  <c r="KJ33" i="1"/>
  <c r="KP33" i="1" s="1"/>
  <c r="JO33" i="1"/>
  <c r="KG33" i="1" s="1"/>
  <c r="JN33" i="1"/>
  <c r="KF33" i="1" s="1"/>
  <c r="IS33" i="1"/>
  <c r="JG33" i="1" s="1"/>
  <c r="IR33" i="1"/>
  <c r="JF33" i="1" s="1"/>
  <c r="IO33" i="1"/>
  <c r="IN33" i="1"/>
  <c r="IL33" i="1"/>
  <c r="IK33" i="1"/>
  <c r="IE33" i="1"/>
  <c r="ID33" i="1"/>
  <c r="HQ33" i="1"/>
  <c r="HP33" i="1"/>
  <c r="GF33" i="1"/>
  <c r="GT33" i="1" s="1"/>
  <c r="GE33" i="1"/>
  <c r="GS33" i="1" s="1"/>
  <c r="GC33" i="1"/>
  <c r="GB33" i="1"/>
  <c r="FL33" i="1"/>
  <c r="FR33" i="1" s="1"/>
  <c r="FK33" i="1"/>
  <c r="FQ33" i="1" s="1"/>
  <c r="FI33" i="1"/>
  <c r="FH33" i="1"/>
  <c r="EZ33" i="1"/>
  <c r="EY33" i="1"/>
  <c r="EL33" i="1"/>
  <c r="EK33" i="1"/>
  <c r="CY33" i="1"/>
  <c r="DW33" i="1" s="1"/>
  <c r="CX33" i="1"/>
  <c r="DV33" i="1" s="1"/>
  <c r="CO33" i="1"/>
  <c r="CN33" i="1"/>
  <c r="CD33" i="1"/>
  <c r="CC33" i="1"/>
  <c r="BY33" i="1"/>
  <c r="BX33" i="1"/>
  <c r="BL33" i="1"/>
  <c r="BP33" i="1" s="1"/>
  <c r="BK33" i="1"/>
  <c r="BE33" i="1"/>
  <c r="BD33" i="1"/>
  <c r="AV33" i="1"/>
  <c r="AU33" i="1"/>
  <c r="AJ33" i="1"/>
  <c r="AN33" i="1" s="1"/>
  <c r="AI33" i="1"/>
  <c r="AM33" i="1" s="1"/>
  <c r="AE33" i="1"/>
  <c r="AD33" i="1"/>
  <c r="X33" i="1"/>
  <c r="W33" i="1"/>
  <c r="V33" i="1"/>
  <c r="U33" i="1"/>
  <c r="O33" i="1"/>
  <c r="N33" i="1"/>
  <c r="H33" i="1"/>
  <c r="Q33" i="1" s="1"/>
  <c r="G33" i="1"/>
  <c r="P33" i="1" s="1"/>
  <c r="KK32" i="1"/>
  <c r="KQ32" i="1" s="1"/>
  <c r="KJ32" i="1"/>
  <c r="KP32" i="1" s="1"/>
  <c r="KG32" i="1"/>
  <c r="KF32" i="1"/>
  <c r="IS32" i="1"/>
  <c r="JG32" i="1" s="1"/>
  <c r="IR32" i="1"/>
  <c r="JF32" i="1" s="1"/>
  <c r="IL32" i="1"/>
  <c r="IK32" i="1"/>
  <c r="IE32" i="1"/>
  <c r="ID32" i="1"/>
  <c r="HA32" i="1"/>
  <c r="HQ32" i="1" s="1"/>
  <c r="GZ32" i="1"/>
  <c r="HP32" i="1" s="1"/>
  <c r="GF32" i="1"/>
  <c r="GT32" i="1" s="1"/>
  <c r="GE32" i="1"/>
  <c r="GS32" i="1" s="1"/>
  <c r="GC32" i="1"/>
  <c r="GB32" i="1"/>
  <c r="FR32" i="1"/>
  <c r="FQ32" i="1"/>
  <c r="FI32" i="1"/>
  <c r="FH32" i="1"/>
  <c r="EZ32" i="1"/>
  <c r="EY32" i="1"/>
  <c r="EL32" i="1"/>
  <c r="EK32" i="1"/>
  <c r="DW32" i="1"/>
  <c r="DV32" i="1"/>
  <c r="CO32" i="1"/>
  <c r="CN32" i="1"/>
  <c r="CD32" i="1"/>
  <c r="CF32" i="1" s="1"/>
  <c r="CC32" i="1"/>
  <c r="CE32" i="1" s="1"/>
  <c r="BY32" i="1"/>
  <c r="BX32" i="1"/>
  <c r="BP32" i="1"/>
  <c r="BO32" i="1"/>
  <c r="BE32" i="1"/>
  <c r="BD32" i="1"/>
  <c r="AV32" i="1"/>
  <c r="AZ32" i="1" s="1"/>
  <c r="AU32" i="1"/>
  <c r="AY32" i="1" s="1"/>
  <c r="AJ32" i="1"/>
  <c r="AN32" i="1" s="1"/>
  <c r="AI32" i="1"/>
  <c r="AM32" i="1" s="1"/>
  <c r="AE32" i="1"/>
  <c r="AD32" i="1"/>
  <c r="V32" i="1"/>
  <c r="AB32" i="1" s="1"/>
  <c r="U32" i="1"/>
  <c r="O32" i="1"/>
  <c r="N32" i="1"/>
  <c r="H32" i="1"/>
  <c r="G32" i="1"/>
  <c r="F32" i="1"/>
  <c r="E32" i="1"/>
  <c r="KQ31" i="1"/>
  <c r="KP31" i="1"/>
  <c r="KG31" i="1"/>
  <c r="KF31" i="1"/>
  <c r="JG31" i="1"/>
  <c r="JF31" i="1"/>
  <c r="IL31" i="1"/>
  <c r="IK31" i="1"/>
  <c r="IE31" i="1"/>
  <c r="ID31" i="1"/>
  <c r="HQ31" i="1"/>
  <c r="HP31" i="1"/>
  <c r="GT31" i="1"/>
  <c r="GS31" i="1"/>
  <c r="GC31" i="1"/>
  <c r="GB31" i="1"/>
  <c r="FR31" i="1"/>
  <c r="FQ31" i="1"/>
  <c r="FI31" i="1"/>
  <c r="FH31" i="1"/>
  <c r="EZ31" i="1"/>
  <c r="EY31" i="1"/>
  <c r="EL31" i="1"/>
  <c r="EK31" i="1"/>
  <c r="DW31" i="1"/>
  <c r="DV31" i="1"/>
  <c r="CO31" i="1"/>
  <c r="CN31" i="1"/>
  <c r="CF31" i="1"/>
  <c r="CE31" i="1"/>
  <c r="BY31" i="1"/>
  <c r="BX31" i="1"/>
  <c r="BP31" i="1"/>
  <c r="BO31" i="1"/>
  <c r="BG31" i="1"/>
  <c r="BF31" i="1"/>
  <c r="AZ31" i="1"/>
  <c r="AY31" i="1"/>
  <c r="AJ31" i="1"/>
  <c r="AN31" i="1" s="1"/>
  <c r="AI31" i="1"/>
  <c r="AM31" i="1" s="1"/>
  <c r="V31" i="1"/>
  <c r="AB31" i="1" s="1"/>
  <c r="U31" i="1"/>
  <c r="AA31" i="1" s="1"/>
  <c r="O31" i="1"/>
  <c r="N31" i="1"/>
  <c r="H31" i="1"/>
  <c r="Q31" i="1" s="1"/>
  <c r="G31" i="1"/>
  <c r="P31" i="1" s="1"/>
  <c r="KQ30" i="1"/>
  <c r="KP30" i="1"/>
  <c r="KG30" i="1"/>
  <c r="KF30" i="1"/>
  <c r="JG30" i="1"/>
  <c r="JF30" i="1"/>
  <c r="IL30" i="1"/>
  <c r="IK30" i="1"/>
  <c r="IE30" i="1"/>
  <c r="ID30" i="1"/>
  <c r="HQ30" i="1"/>
  <c r="HP30" i="1"/>
  <c r="GT30" i="1"/>
  <c r="GS30" i="1"/>
  <c r="GC30" i="1"/>
  <c r="GB30" i="1"/>
  <c r="FR30" i="1"/>
  <c r="FQ30" i="1"/>
  <c r="FI30" i="1"/>
  <c r="FH30" i="1"/>
  <c r="EZ30" i="1"/>
  <c r="EY30" i="1"/>
  <c r="EL30" i="1"/>
  <c r="EK30" i="1"/>
  <c r="DW30" i="1"/>
  <c r="DV30" i="1"/>
  <c r="CO30" i="1"/>
  <c r="CN30" i="1"/>
  <c r="CF30" i="1"/>
  <c r="CE30" i="1"/>
  <c r="BY30" i="1"/>
  <c r="BX30" i="1"/>
  <c r="BP30" i="1"/>
  <c r="BO30" i="1"/>
  <c r="BG30" i="1"/>
  <c r="BF30" i="1"/>
  <c r="AZ30" i="1"/>
  <c r="AY30" i="1"/>
  <c r="AN30" i="1"/>
  <c r="AM30" i="1"/>
  <c r="V30" i="1"/>
  <c r="AQ30" i="1" s="1"/>
  <c r="U30" i="1"/>
  <c r="AP30" i="1" s="1"/>
  <c r="Q30" i="1"/>
  <c r="P30" i="1"/>
  <c r="O30" i="1"/>
  <c r="N30" i="1"/>
  <c r="KK29" i="1"/>
  <c r="KQ29" i="1" s="1"/>
  <c r="KJ29" i="1"/>
  <c r="KP29" i="1" s="1"/>
  <c r="KG29" i="1"/>
  <c r="KF29" i="1"/>
  <c r="JG29" i="1"/>
  <c r="JF29" i="1"/>
  <c r="IL29" i="1"/>
  <c r="IK29" i="1"/>
  <c r="IE29" i="1"/>
  <c r="ID29" i="1"/>
  <c r="HQ29" i="1"/>
  <c r="HP29" i="1"/>
  <c r="GF29" i="1"/>
  <c r="GT29" i="1" s="1"/>
  <c r="GE29" i="1"/>
  <c r="GS29" i="1" s="1"/>
  <c r="GC29" i="1"/>
  <c r="GB29" i="1"/>
  <c r="FR29" i="1"/>
  <c r="FQ29" i="1"/>
  <c r="FI29" i="1"/>
  <c r="FH29" i="1"/>
  <c r="EZ29" i="1"/>
  <c r="EY29" i="1"/>
  <c r="EL29" i="1"/>
  <c r="EK29" i="1"/>
  <c r="DW29" i="1"/>
  <c r="DV29" i="1"/>
  <c r="CO29" i="1"/>
  <c r="CN29" i="1"/>
  <c r="BS29" i="1"/>
  <c r="CF29" i="1" s="1"/>
  <c r="BR29" i="1"/>
  <c r="BP29" i="1"/>
  <c r="BO29" i="1"/>
  <c r="BG29" i="1"/>
  <c r="BF29" i="1"/>
  <c r="AZ29" i="1"/>
  <c r="AY29" i="1"/>
  <c r="AN29" i="1"/>
  <c r="AM29" i="1"/>
  <c r="X29" i="1"/>
  <c r="W29" i="1"/>
  <c r="V29" i="1"/>
  <c r="U29" i="1"/>
  <c r="O29" i="1"/>
  <c r="N29" i="1"/>
  <c r="H29" i="1"/>
  <c r="Q29" i="1" s="1"/>
  <c r="G29" i="1"/>
  <c r="P29" i="1" s="1"/>
  <c r="KK28" i="1"/>
  <c r="KQ28" i="1" s="1"/>
  <c r="KJ28" i="1"/>
  <c r="KP28" i="1" s="1"/>
  <c r="KG28" i="1"/>
  <c r="KF28" i="1"/>
  <c r="JG28" i="1"/>
  <c r="JF28" i="1"/>
  <c r="IL28" i="1"/>
  <c r="IK28" i="1"/>
  <c r="IE28" i="1"/>
  <c r="ID28" i="1"/>
  <c r="HQ28" i="1"/>
  <c r="HP28" i="1"/>
  <c r="GT28" i="1"/>
  <c r="GS28" i="1"/>
  <c r="GC28" i="1"/>
  <c r="GB28" i="1"/>
  <c r="FR28" i="1"/>
  <c r="FQ28" i="1"/>
  <c r="FI28" i="1"/>
  <c r="FH28" i="1"/>
  <c r="EZ28" i="1"/>
  <c r="EY28" i="1"/>
  <c r="EL28" i="1"/>
  <c r="EK28" i="1"/>
  <c r="DW28" i="1"/>
  <c r="DV28" i="1"/>
  <c r="CO28" i="1"/>
  <c r="CN28" i="1"/>
  <c r="BS28" i="1"/>
  <c r="CF28" i="1" s="1"/>
  <c r="BR28" i="1"/>
  <c r="CE28" i="1" s="1"/>
  <c r="BP28" i="1"/>
  <c r="BO28" i="1"/>
  <c r="AV28" i="1"/>
  <c r="BG28" i="1" s="1"/>
  <c r="AU28" i="1"/>
  <c r="BF28" i="1" s="1"/>
  <c r="AJ28" i="1"/>
  <c r="AN28" i="1" s="1"/>
  <c r="AI28" i="1"/>
  <c r="AM28" i="1" s="1"/>
  <c r="X28" i="1"/>
  <c r="W28" i="1"/>
  <c r="V28" i="1"/>
  <c r="U28" i="1"/>
  <c r="O28" i="1"/>
  <c r="N28" i="1"/>
  <c r="H28" i="1"/>
  <c r="Q28" i="1" s="1"/>
  <c r="G28" i="1"/>
  <c r="P28" i="1" s="1"/>
  <c r="KQ27" i="1"/>
  <c r="KP27" i="1"/>
  <c r="KG27" i="1"/>
  <c r="KF27" i="1"/>
  <c r="JG27" i="1"/>
  <c r="JF27" i="1"/>
  <c r="IL27" i="1"/>
  <c r="IK27" i="1"/>
  <c r="IE27" i="1"/>
  <c r="ID27" i="1"/>
  <c r="HQ27" i="1"/>
  <c r="HP27" i="1"/>
  <c r="GT27" i="1"/>
  <c r="GS27" i="1"/>
  <c r="GC27" i="1"/>
  <c r="GB27" i="1"/>
  <c r="FR27" i="1"/>
  <c r="FQ27" i="1"/>
  <c r="FI27" i="1"/>
  <c r="FH27" i="1"/>
  <c r="EZ27" i="1"/>
  <c r="EY27" i="1"/>
  <c r="EL27" i="1"/>
  <c r="EK27" i="1"/>
  <c r="DW27" i="1"/>
  <c r="DV27" i="1"/>
  <c r="CO27" i="1"/>
  <c r="CN27" i="1"/>
  <c r="CF27" i="1"/>
  <c r="CE27" i="1"/>
  <c r="BY27" i="1"/>
  <c r="BX27" i="1"/>
  <c r="BP27" i="1"/>
  <c r="BO27" i="1"/>
  <c r="BG27" i="1"/>
  <c r="BF27" i="1"/>
  <c r="AZ27" i="1"/>
  <c r="AY27" i="1"/>
  <c r="AN27" i="1"/>
  <c r="AM27" i="1"/>
  <c r="V27" i="1"/>
  <c r="AQ27" i="1" s="1"/>
  <c r="U27" i="1"/>
  <c r="AA27" i="1" s="1"/>
  <c r="Q27" i="1"/>
  <c r="P27" i="1"/>
  <c r="O27" i="1"/>
  <c r="N27" i="1"/>
  <c r="KK26" i="1"/>
  <c r="KQ26" i="1" s="1"/>
  <c r="KJ26" i="1"/>
  <c r="KP26" i="1" s="1"/>
  <c r="KG26" i="1"/>
  <c r="KF26" i="1"/>
  <c r="IS26" i="1"/>
  <c r="JG26" i="1" s="1"/>
  <c r="IR26" i="1"/>
  <c r="JF26" i="1" s="1"/>
  <c r="IL26" i="1"/>
  <c r="IK26" i="1"/>
  <c r="IE26" i="1"/>
  <c r="ID26" i="1"/>
  <c r="HQ26" i="1"/>
  <c r="HP26" i="1"/>
  <c r="GT26" i="1"/>
  <c r="GS26" i="1"/>
  <c r="GC26" i="1"/>
  <c r="GB26" i="1"/>
  <c r="FL26" i="1"/>
  <c r="FR26" i="1" s="1"/>
  <c r="FK26" i="1"/>
  <c r="FQ26" i="1" s="1"/>
  <c r="FI26" i="1"/>
  <c r="FH26" i="1"/>
  <c r="EV26" i="1"/>
  <c r="EZ26" i="1" s="1"/>
  <c r="EU26" i="1"/>
  <c r="EY26" i="1" s="1"/>
  <c r="EL26" i="1"/>
  <c r="EK26" i="1"/>
  <c r="CY26" i="1"/>
  <c r="DW26" i="1" s="1"/>
  <c r="CX26" i="1"/>
  <c r="DV26" i="1" s="1"/>
  <c r="CO26" i="1"/>
  <c r="CN26" i="1"/>
  <c r="CD26" i="1"/>
  <c r="CC26" i="1"/>
  <c r="BS26" i="1"/>
  <c r="BR26" i="1"/>
  <c r="BX26" i="1" s="1"/>
  <c r="BP26" i="1"/>
  <c r="BO26" i="1"/>
  <c r="BE26" i="1"/>
  <c r="BD26" i="1"/>
  <c r="AV26" i="1"/>
  <c r="AU26" i="1"/>
  <c r="AJ26" i="1"/>
  <c r="AN26" i="1" s="1"/>
  <c r="AI26" i="1"/>
  <c r="AM26" i="1" s="1"/>
  <c r="AE26" i="1"/>
  <c r="AD26" i="1"/>
  <c r="V26" i="1"/>
  <c r="AB26" i="1" s="1"/>
  <c r="U26" i="1"/>
  <c r="AA26" i="1" s="1"/>
  <c r="O26" i="1"/>
  <c r="N26" i="1"/>
  <c r="H26" i="1"/>
  <c r="Q26" i="1" s="1"/>
  <c r="G26" i="1"/>
  <c r="P26" i="1" s="1"/>
  <c r="KK25" i="1"/>
  <c r="KQ25" i="1" s="1"/>
  <c r="KJ25" i="1"/>
  <c r="KP25" i="1" s="1"/>
  <c r="JU25" i="1"/>
  <c r="JU60" i="1" s="1"/>
  <c r="JU63" i="1" s="1"/>
  <c r="JT25" i="1"/>
  <c r="JT60" i="1" s="1"/>
  <c r="JT63" i="1" s="1"/>
  <c r="IS25" i="1"/>
  <c r="JG25" i="1" s="1"/>
  <c r="IR25" i="1"/>
  <c r="JF25" i="1" s="1"/>
  <c r="IL25" i="1"/>
  <c r="IK25" i="1"/>
  <c r="IE25" i="1"/>
  <c r="ID25" i="1"/>
  <c r="HQ25" i="1"/>
  <c r="HP25" i="1"/>
  <c r="GT25" i="1"/>
  <c r="GS25" i="1"/>
  <c r="GC25" i="1"/>
  <c r="GB25" i="1"/>
  <c r="FR25" i="1"/>
  <c r="FQ25" i="1"/>
  <c r="FI25" i="1"/>
  <c r="FH25" i="1"/>
  <c r="EZ25" i="1"/>
  <c r="EY25" i="1"/>
  <c r="EL25" i="1"/>
  <c r="EK25" i="1"/>
  <c r="CY25" i="1"/>
  <c r="DW25" i="1" s="1"/>
  <c r="CX25" i="1"/>
  <c r="DV25" i="1" s="1"/>
  <c r="CK25" i="1"/>
  <c r="CJ25" i="1"/>
  <c r="CD25" i="1"/>
  <c r="CF25" i="1" s="1"/>
  <c r="CC25" i="1"/>
  <c r="CE25" i="1" s="1"/>
  <c r="BY25" i="1"/>
  <c r="BX25" i="1"/>
  <c r="BP25" i="1"/>
  <c r="BO25" i="1"/>
  <c r="BE25" i="1"/>
  <c r="BD25" i="1"/>
  <c r="AV25" i="1"/>
  <c r="AU25" i="1"/>
  <c r="AJ25" i="1"/>
  <c r="AN25" i="1" s="1"/>
  <c r="AI25" i="1"/>
  <c r="AM25" i="1" s="1"/>
  <c r="X25" i="1"/>
  <c r="W25" i="1"/>
  <c r="V25" i="1"/>
  <c r="U25" i="1"/>
  <c r="O25" i="1"/>
  <c r="N25" i="1"/>
  <c r="H25" i="1"/>
  <c r="Q25" i="1" s="1"/>
  <c r="G25" i="1"/>
  <c r="P25" i="1" s="1"/>
  <c r="KK24" i="1"/>
  <c r="KJ24" i="1"/>
  <c r="JO24" i="1"/>
  <c r="JN24" i="1"/>
  <c r="IS24" i="1"/>
  <c r="IR24" i="1"/>
  <c r="IO24" i="1"/>
  <c r="IN24" i="1"/>
  <c r="IH24" i="1"/>
  <c r="IG24" i="1"/>
  <c r="HU24" i="1"/>
  <c r="HT24" i="1"/>
  <c r="HA24" i="1"/>
  <c r="GZ24" i="1"/>
  <c r="GZ60" i="1" s="1"/>
  <c r="GL24" i="1"/>
  <c r="GL60" i="1" s="1"/>
  <c r="GL63" i="1" s="1"/>
  <c r="GK24" i="1"/>
  <c r="GK60" i="1" s="1"/>
  <c r="GK63" i="1" s="1"/>
  <c r="GF24" i="1"/>
  <c r="GE24" i="1"/>
  <c r="FU24" i="1"/>
  <c r="FT24" i="1"/>
  <c r="FL24" i="1"/>
  <c r="FK24" i="1"/>
  <c r="FI24" i="1"/>
  <c r="FH24" i="1"/>
  <c r="EV24" i="1"/>
  <c r="EU24" i="1"/>
  <c r="ES24" i="1"/>
  <c r="ES60" i="1" s="1"/>
  <c r="ER24" i="1"/>
  <c r="ER60" i="1" s="1"/>
  <c r="EL24" i="1"/>
  <c r="EK24" i="1"/>
  <c r="CY24" i="1"/>
  <c r="CX24" i="1"/>
  <c r="CO24" i="1"/>
  <c r="CN24" i="1"/>
  <c r="CD24" i="1"/>
  <c r="CC24" i="1"/>
  <c r="BS24" i="1"/>
  <c r="BR24" i="1"/>
  <c r="BL24" i="1"/>
  <c r="BK24" i="1"/>
  <c r="BE24" i="1"/>
  <c r="BD24" i="1"/>
  <c r="BC24" i="1"/>
  <c r="BC60" i="1" s="1"/>
  <c r="BB24" i="1"/>
  <c r="BB60" i="1" s="1"/>
  <c r="AZ24" i="1"/>
  <c r="AY24" i="1"/>
  <c r="AJ24" i="1"/>
  <c r="AI24" i="1"/>
  <c r="AG24" i="1"/>
  <c r="AG60" i="1" s="1"/>
  <c r="AF24" i="1"/>
  <c r="AF60" i="1" s="1"/>
  <c r="AF63" i="1" s="1"/>
  <c r="AE24" i="1"/>
  <c r="AD24" i="1"/>
  <c r="X24" i="1"/>
  <c r="W24" i="1"/>
  <c r="V24" i="1"/>
  <c r="U24" i="1"/>
  <c r="K24" i="1"/>
  <c r="K60" i="1" s="1"/>
  <c r="J24" i="1"/>
  <c r="J60" i="1" s="1"/>
  <c r="H24" i="1"/>
  <c r="G24" i="1"/>
  <c r="F24" i="1"/>
  <c r="E24" i="1"/>
  <c r="LB22" i="1"/>
  <c r="KQ22" i="1"/>
  <c r="KP22" i="1"/>
  <c r="KG22" i="1"/>
  <c r="KF22" i="1"/>
  <c r="JG22" i="1"/>
  <c r="JF22" i="1"/>
  <c r="IO22" i="1"/>
  <c r="IN22" i="1"/>
  <c r="IL22" i="1"/>
  <c r="IK22" i="1"/>
  <c r="IE22" i="1"/>
  <c r="ID22" i="1"/>
  <c r="HQ22" i="1"/>
  <c r="HP22" i="1"/>
  <c r="GT22" i="1"/>
  <c r="GS22" i="1"/>
  <c r="GC22" i="1"/>
  <c r="GB22" i="1"/>
  <c r="FR22" i="1"/>
  <c r="FQ22" i="1"/>
  <c r="FI22" i="1"/>
  <c r="FH22" i="1"/>
  <c r="EZ22" i="1"/>
  <c r="EY22" i="1"/>
  <c r="ES22" i="1"/>
  <c r="ER22" i="1"/>
  <c r="EL22" i="1"/>
  <c r="EK22" i="1"/>
  <c r="DW22" i="1"/>
  <c r="DV22" i="1"/>
  <c r="CO22" i="1"/>
  <c r="CN22" i="1"/>
  <c r="CD22" i="1"/>
  <c r="CC22" i="1"/>
  <c r="CB22" i="1"/>
  <c r="CA22" i="1"/>
  <c r="BY22" i="1"/>
  <c r="BX22" i="1"/>
  <c r="BP22" i="1"/>
  <c r="BO22" i="1"/>
  <c r="BE22" i="1"/>
  <c r="BD22" i="1"/>
  <c r="BC22" i="1"/>
  <c r="BB22" i="1"/>
  <c r="AZ22" i="1"/>
  <c r="AY22" i="1"/>
  <c r="AN22" i="1"/>
  <c r="AM22" i="1"/>
  <c r="AG22" i="1"/>
  <c r="AF22" i="1"/>
  <c r="AE22" i="1"/>
  <c r="AD22" i="1"/>
  <c r="AB22" i="1"/>
  <c r="AA22" i="1"/>
  <c r="O22" i="1"/>
  <c r="N22" i="1"/>
  <c r="H22" i="1"/>
  <c r="G22" i="1"/>
  <c r="F22" i="1"/>
  <c r="E22" i="1"/>
  <c r="KT21" i="1"/>
  <c r="KS21" i="1"/>
  <c r="JJ21" i="1"/>
  <c r="JI21" i="1"/>
  <c r="GV21" i="1"/>
  <c r="GU21" i="1"/>
  <c r="EN21" i="1"/>
  <c r="EM21" i="1"/>
  <c r="CF21" i="1"/>
  <c r="CE21" i="1"/>
  <c r="BG21" i="1"/>
  <c r="BF21" i="1"/>
  <c r="AQ21" i="1"/>
  <c r="AP21" i="1"/>
  <c r="Q21" i="1"/>
  <c r="P21" i="1"/>
  <c r="KT20" i="1"/>
  <c r="KS20" i="1"/>
  <c r="JJ20" i="1"/>
  <c r="JI20" i="1"/>
  <c r="GV20" i="1"/>
  <c r="GU20" i="1"/>
  <c r="EN20" i="1"/>
  <c r="EM20" i="1"/>
  <c r="CF20" i="1"/>
  <c r="CE20" i="1"/>
  <c r="BG20" i="1"/>
  <c r="BF20" i="1"/>
  <c r="AQ20" i="1"/>
  <c r="AP20" i="1"/>
  <c r="Q20" i="1"/>
  <c r="P20" i="1"/>
  <c r="KT19" i="1"/>
  <c r="KS19" i="1"/>
  <c r="JJ19" i="1"/>
  <c r="JI19" i="1"/>
  <c r="GV19" i="1"/>
  <c r="GU19" i="1"/>
  <c r="EN19" i="1"/>
  <c r="EM19" i="1"/>
  <c r="CF19" i="1"/>
  <c r="CE19" i="1"/>
  <c r="BG19" i="1"/>
  <c r="BF19" i="1"/>
  <c r="AQ19" i="1"/>
  <c r="AP19" i="1"/>
  <c r="Q19" i="1"/>
  <c r="P19" i="1"/>
  <c r="KT18" i="1"/>
  <c r="KS18" i="1"/>
  <c r="JJ18" i="1"/>
  <c r="JI18" i="1"/>
  <c r="GV18" i="1"/>
  <c r="GU18" i="1"/>
  <c r="EN18" i="1"/>
  <c r="EM18" i="1"/>
  <c r="CF18" i="1"/>
  <c r="CE18" i="1"/>
  <c r="BG18" i="1"/>
  <c r="BF18" i="1"/>
  <c r="AQ18" i="1"/>
  <c r="AP18" i="1"/>
  <c r="Q18" i="1"/>
  <c r="P18" i="1"/>
  <c r="KT17" i="1"/>
  <c r="KS17" i="1"/>
  <c r="JJ17" i="1"/>
  <c r="JI17" i="1"/>
  <c r="GV17" i="1"/>
  <c r="GU17" i="1"/>
  <c r="EN17" i="1"/>
  <c r="EM17" i="1"/>
  <c r="CF17" i="1"/>
  <c r="CE17" i="1"/>
  <c r="BG17" i="1"/>
  <c r="BF17" i="1"/>
  <c r="AQ17" i="1"/>
  <c r="AP17" i="1"/>
  <c r="Q17" i="1"/>
  <c r="P17" i="1"/>
  <c r="KT16" i="1"/>
  <c r="KS16" i="1"/>
  <c r="JJ16" i="1"/>
  <c r="JI16" i="1"/>
  <c r="GV16" i="1"/>
  <c r="GU16" i="1"/>
  <c r="EN16" i="1"/>
  <c r="EM16" i="1"/>
  <c r="CF16" i="1"/>
  <c r="CE16" i="1"/>
  <c r="BG16" i="1"/>
  <c r="BF16" i="1"/>
  <c r="AQ16" i="1"/>
  <c r="AP16" i="1"/>
  <c r="Q16" i="1"/>
  <c r="P16" i="1"/>
  <c r="KT15" i="1"/>
  <c r="KS15" i="1"/>
  <c r="JJ15" i="1"/>
  <c r="JI15" i="1"/>
  <c r="GV15" i="1"/>
  <c r="GU15" i="1"/>
  <c r="EN15" i="1"/>
  <c r="EM15" i="1"/>
  <c r="CF15" i="1"/>
  <c r="CE15" i="1"/>
  <c r="BG15" i="1"/>
  <c r="BF15" i="1"/>
  <c r="AQ15" i="1"/>
  <c r="AP15" i="1"/>
  <c r="Q15" i="1"/>
  <c r="P15" i="1"/>
  <c r="KT14" i="1"/>
  <c r="KS14" i="1"/>
  <c r="JJ14" i="1"/>
  <c r="JI14" i="1"/>
  <c r="GV14" i="1"/>
  <c r="GU14" i="1"/>
  <c r="EN14" i="1"/>
  <c r="EM14" i="1"/>
  <c r="CF14" i="1"/>
  <c r="CE14" i="1"/>
  <c r="BG14" i="1"/>
  <c r="BF14" i="1"/>
  <c r="AQ14" i="1"/>
  <c r="AP14" i="1"/>
  <c r="Q14" i="1"/>
  <c r="P14" i="1"/>
  <c r="KT13" i="1"/>
  <c r="KS13" i="1"/>
  <c r="JJ13" i="1"/>
  <c r="JI13" i="1"/>
  <c r="GV13" i="1"/>
  <c r="GU13" i="1"/>
  <c r="EN13" i="1"/>
  <c r="EM13" i="1"/>
  <c r="CF13" i="1"/>
  <c r="CE13" i="1"/>
  <c r="BG13" i="1"/>
  <c r="BF13" i="1"/>
  <c r="AQ13" i="1"/>
  <c r="AP13" i="1"/>
  <c r="Q13" i="1"/>
  <c r="P13" i="1"/>
  <c r="KT12" i="1"/>
  <c r="KS12" i="1"/>
  <c r="JJ12" i="1"/>
  <c r="JI12" i="1"/>
  <c r="GV12" i="1"/>
  <c r="GU12" i="1"/>
  <c r="EN12" i="1"/>
  <c r="EM12" i="1"/>
  <c r="CF12" i="1"/>
  <c r="CE12" i="1"/>
  <c r="BG12" i="1"/>
  <c r="BF12" i="1"/>
  <c r="AQ12" i="1"/>
  <c r="AP12" i="1"/>
  <c r="Q12" i="1"/>
  <c r="P12" i="1"/>
  <c r="KT11" i="1"/>
  <c r="KS11" i="1"/>
  <c r="JJ11" i="1"/>
  <c r="JI11" i="1"/>
  <c r="GV11" i="1"/>
  <c r="GU11" i="1"/>
  <c r="EN11" i="1"/>
  <c r="EM11" i="1"/>
  <c r="CF11" i="1"/>
  <c r="CE11" i="1"/>
  <c r="BG11" i="1"/>
  <c r="BF11" i="1"/>
  <c r="AQ11" i="1"/>
  <c r="AP11" i="1"/>
  <c r="Q11" i="1"/>
  <c r="P11" i="1"/>
  <c r="KT10" i="1"/>
  <c r="KS10" i="1"/>
  <c r="JJ10" i="1"/>
  <c r="JI10" i="1"/>
  <c r="GV10" i="1"/>
  <c r="GU10" i="1"/>
  <c r="EN10" i="1"/>
  <c r="EM10" i="1"/>
  <c r="CF10" i="1"/>
  <c r="CE10" i="1"/>
  <c r="BG10" i="1"/>
  <c r="BF10" i="1"/>
  <c r="AQ10" i="1"/>
  <c r="AP10" i="1"/>
  <c r="Q10" i="1"/>
  <c r="P10" i="1"/>
  <c r="KT9" i="1"/>
  <c r="KS9" i="1"/>
  <c r="JJ9" i="1"/>
  <c r="JI9" i="1"/>
  <c r="GV9" i="1"/>
  <c r="GU9" i="1"/>
  <c r="EN9" i="1"/>
  <c r="EM9" i="1"/>
  <c r="CF9" i="1"/>
  <c r="CE9" i="1"/>
  <c r="BG9" i="1"/>
  <c r="BF9" i="1"/>
  <c r="AQ9" i="1"/>
  <c r="AP9" i="1"/>
  <c r="Q9" i="1"/>
  <c r="P9" i="1"/>
  <c r="KT8" i="1"/>
  <c r="KS8" i="1"/>
  <c r="JJ8" i="1"/>
  <c r="JI8" i="1"/>
  <c r="GV8" i="1"/>
  <c r="GU8" i="1"/>
  <c r="EN8" i="1"/>
  <c r="EM8" i="1"/>
  <c r="CF8" i="1"/>
  <c r="CE8" i="1"/>
  <c r="BG8" i="1"/>
  <c r="BF8" i="1"/>
  <c r="AQ8" i="1"/>
  <c r="AP8" i="1"/>
  <c r="Q8" i="1"/>
  <c r="P8" i="1"/>
  <c r="KT7" i="1"/>
  <c r="KS7" i="1"/>
  <c r="JJ7" i="1"/>
  <c r="JI7" i="1"/>
  <c r="GV7" i="1"/>
  <c r="GU7" i="1"/>
  <c r="EN7" i="1"/>
  <c r="EM7" i="1"/>
  <c r="CF7" i="1"/>
  <c r="CE7" i="1"/>
  <c r="BG7" i="1"/>
  <c r="BF7" i="1"/>
  <c r="AQ7" i="1"/>
  <c r="AP7" i="1"/>
  <c r="Q7" i="1"/>
  <c r="P7" i="1"/>
  <c r="LB5" i="1"/>
  <c r="KT5" i="1"/>
  <c r="KS5" i="1"/>
  <c r="JJ5" i="1"/>
  <c r="JI5" i="1"/>
  <c r="GV5" i="1"/>
  <c r="GU5" i="1"/>
  <c r="EN5" i="1"/>
  <c r="EM5" i="1"/>
  <c r="CF5" i="1"/>
  <c r="CE5" i="1"/>
  <c r="BG5" i="1"/>
  <c r="BF5" i="1"/>
  <c r="AQ5" i="1"/>
  <c r="AP5" i="1"/>
  <c r="Q5" i="1"/>
  <c r="P5" i="1"/>
  <c r="KS61" i="1" l="1"/>
  <c r="IG60" i="1"/>
  <c r="IK60" i="1" s="1"/>
  <c r="BB63" i="1"/>
  <c r="IH60" i="1"/>
  <c r="IL60" i="1" s="1"/>
  <c r="HT60" i="1"/>
  <c r="ID60" i="1" s="1"/>
  <c r="HA60" i="1"/>
  <c r="HA63" i="1" s="1"/>
  <c r="HQ63" i="1" s="1"/>
  <c r="KS62" i="1"/>
  <c r="KT62" i="1"/>
  <c r="BE60" i="1"/>
  <c r="BE63" i="1" s="1"/>
  <c r="BS60" i="1"/>
  <c r="BY60" i="1" s="1"/>
  <c r="EV60" i="1"/>
  <c r="EZ60" i="1" s="1"/>
  <c r="FL60" i="1"/>
  <c r="FR60" i="1" s="1"/>
  <c r="AV60" i="1"/>
  <c r="AZ60" i="1" s="1"/>
  <c r="CF61" i="1"/>
  <c r="JJ62" i="1"/>
  <c r="X61" i="1"/>
  <c r="AJ61" i="1"/>
  <c r="AN61" i="1" s="1"/>
  <c r="CO61" i="1"/>
  <c r="EL61" i="1"/>
  <c r="IS61" i="1"/>
  <c r="JG61" i="1" s="1"/>
  <c r="JJ61" i="1" s="1"/>
  <c r="V62" i="1"/>
  <c r="AQ62" i="1" s="1"/>
  <c r="CO62" i="1"/>
  <c r="EL62" i="1"/>
  <c r="H62" i="1"/>
  <c r="Q62" i="1" s="1"/>
  <c r="AV62" i="1"/>
  <c r="BG62" i="1" s="1"/>
  <c r="CY62" i="1"/>
  <c r="DW62" i="1" s="1"/>
  <c r="E60" i="1"/>
  <c r="E63" i="1" s="1"/>
  <c r="W60" i="1"/>
  <c r="BD60" i="1"/>
  <c r="BD63" i="1" s="1"/>
  <c r="BR60" i="1"/>
  <c r="BX60" i="1" s="1"/>
  <c r="FK60" i="1"/>
  <c r="FQ60" i="1" s="1"/>
  <c r="GE60" i="1"/>
  <c r="GE63" i="1" s="1"/>
  <c r="IR60" i="1"/>
  <c r="JF60" i="1" s="1"/>
  <c r="KJ60" i="1"/>
  <c r="KP60" i="1" s="1"/>
  <c r="AU60" i="1"/>
  <c r="AY60" i="1" s="1"/>
  <c r="G61" i="1"/>
  <c r="P61" i="1" s="1"/>
  <c r="U61" i="1"/>
  <c r="EU62" i="1"/>
  <c r="EY62" i="1" s="1"/>
  <c r="JI62" i="1"/>
  <c r="GS62" i="1"/>
  <c r="N60" i="1"/>
  <c r="J63" i="1"/>
  <c r="N63" i="1" s="1"/>
  <c r="HP60" i="1"/>
  <c r="GZ63" i="1"/>
  <c r="HP63" i="1" s="1"/>
  <c r="O60" i="1"/>
  <c r="K63" i="1"/>
  <c r="O63" i="1" s="1"/>
  <c r="AG63" i="1"/>
  <c r="IS60" i="1"/>
  <c r="AY61" i="1"/>
  <c r="BF61" i="1"/>
  <c r="EY53" i="1"/>
  <c r="GU53" i="1" s="1"/>
  <c r="EU61" i="1"/>
  <c r="EY61" i="1" s="1"/>
  <c r="BX62" i="1"/>
  <c r="CE62" i="1"/>
  <c r="G60" i="1"/>
  <c r="U60" i="1"/>
  <c r="AD60" i="1"/>
  <c r="AD63" i="1" s="1"/>
  <c r="AI60" i="1"/>
  <c r="BK60" i="1"/>
  <c r="CC60" i="1"/>
  <c r="CC63" i="1" s="1"/>
  <c r="DV24" i="1"/>
  <c r="EM24" i="1" s="1"/>
  <c r="CX60" i="1"/>
  <c r="ER63" i="1"/>
  <c r="FT60" i="1"/>
  <c r="IN60" i="1"/>
  <c r="IN63" i="1" s="1"/>
  <c r="JN60" i="1"/>
  <c r="CJ60" i="1"/>
  <c r="CJ63" i="1" s="1"/>
  <c r="H61" i="1"/>
  <c r="Q61" i="1" s="1"/>
  <c r="V61" i="1"/>
  <c r="O61" i="1"/>
  <c r="FI61" i="1"/>
  <c r="FC63" i="1"/>
  <c r="FI63" i="1" s="1"/>
  <c r="BG61" i="1"/>
  <c r="AZ61" i="1"/>
  <c r="BY61" i="1"/>
  <c r="AN62" i="1"/>
  <c r="BY62" i="1"/>
  <c r="EV62" i="1"/>
  <c r="EZ62" i="1" s="1"/>
  <c r="GT62" i="1"/>
  <c r="EY24" i="1"/>
  <c r="EU60" i="1"/>
  <c r="IG63" i="1"/>
  <c r="IK63" i="1" s="1"/>
  <c r="F60" i="1"/>
  <c r="X60" i="1"/>
  <c r="GF60" i="1"/>
  <c r="GF63" i="1" s="1"/>
  <c r="KK60" i="1"/>
  <c r="FH61" i="1"/>
  <c r="FB63" i="1"/>
  <c r="FH63" i="1" s="1"/>
  <c r="CE61" i="1"/>
  <c r="H60" i="1"/>
  <c r="V60" i="1"/>
  <c r="AE60" i="1"/>
  <c r="AJ60" i="1"/>
  <c r="BC63" i="1"/>
  <c r="BL60" i="1"/>
  <c r="CD60" i="1"/>
  <c r="CY60" i="1"/>
  <c r="DW60" i="1" s="1"/>
  <c r="ES63" i="1"/>
  <c r="FU60" i="1"/>
  <c r="HU60" i="1"/>
  <c r="IO60" i="1"/>
  <c r="IO63" i="1" s="1"/>
  <c r="JO60" i="1"/>
  <c r="CK60" i="1"/>
  <c r="CK63" i="1" s="1"/>
  <c r="CB63" i="1"/>
  <c r="W61" i="1"/>
  <c r="AI61" i="1"/>
  <c r="AM61" i="1" s="1"/>
  <c r="CN61" i="1"/>
  <c r="EK61" i="1"/>
  <c r="JF50" i="1"/>
  <c r="IR61" i="1"/>
  <c r="JF61" i="1" s="1"/>
  <c r="JI61" i="1" s="1"/>
  <c r="U62" i="1"/>
  <c r="CN62" i="1"/>
  <c r="EK62" i="1"/>
  <c r="G62" i="1"/>
  <c r="P62" i="1" s="1"/>
  <c r="AU62" i="1"/>
  <c r="CX62" i="1"/>
  <c r="DV62" i="1" s="1"/>
  <c r="CF62" i="1"/>
  <c r="KT61" i="1"/>
  <c r="KU61" i="1" s="1"/>
  <c r="BH59" i="1"/>
  <c r="CE26" i="1"/>
  <c r="BH30" i="1"/>
  <c r="BG35" i="1"/>
  <c r="KS36" i="1"/>
  <c r="AQ37" i="1"/>
  <c r="KU10" i="1"/>
  <c r="GW12" i="1"/>
  <c r="KU12" i="1"/>
  <c r="CG14" i="1"/>
  <c r="GW14" i="1"/>
  <c r="JJ22" i="1"/>
  <c r="KT22" i="1"/>
  <c r="AQ25" i="1"/>
  <c r="AZ57" i="1"/>
  <c r="CG59" i="1"/>
  <c r="JI25" i="1"/>
  <c r="BF26" i="1"/>
  <c r="BG34" i="1"/>
  <c r="EM47" i="1"/>
  <c r="CG31" i="1"/>
  <c r="KS31" i="1"/>
  <c r="P32" i="1"/>
  <c r="EM32" i="1"/>
  <c r="JI34" i="1"/>
  <c r="BF36" i="1"/>
  <c r="R47" i="1"/>
  <c r="KS47" i="1"/>
  <c r="EN48" i="1"/>
  <c r="GV48" i="1"/>
  <c r="JJ48" i="1"/>
  <c r="JI52" i="1"/>
  <c r="P53" i="1"/>
  <c r="AA53" i="1"/>
  <c r="JK19" i="1"/>
  <c r="GV35" i="1"/>
  <c r="KT35" i="1"/>
  <c r="JI38" i="1"/>
  <c r="KS38" i="1"/>
  <c r="BH44" i="1"/>
  <c r="EN30" i="1"/>
  <c r="GU59" i="1"/>
  <c r="P24" i="1"/>
  <c r="ID24" i="1"/>
  <c r="AB44" i="1"/>
  <c r="AM50" i="1"/>
  <c r="HP50" i="1"/>
  <c r="DV55" i="1"/>
  <c r="EM55" i="1" s="1"/>
  <c r="KX9" i="1"/>
  <c r="LE9" i="1" s="1"/>
  <c r="KW15" i="1"/>
  <c r="LD15" i="1" s="1"/>
  <c r="BH15" i="1"/>
  <c r="EO15" i="1"/>
  <c r="JK15" i="1"/>
  <c r="R17" i="1"/>
  <c r="BH17" i="1"/>
  <c r="AR20" i="1"/>
  <c r="GW20" i="1"/>
  <c r="EZ24" i="1"/>
  <c r="HP24" i="1"/>
  <c r="IK24" i="1"/>
  <c r="KS26" i="1"/>
  <c r="KT27" i="1"/>
  <c r="AQ28" i="1"/>
  <c r="KS32" i="1"/>
  <c r="AP33" i="1"/>
  <c r="BG36" i="1"/>
  <c r="CF39" i="1"/>
  <c r="JJ40" i="1"/>
  <c r="KT40" i="1"/>
  <c r="AQ41" i="1"/>
  <c r="JJ42" i="1"/>
  <c r="GS50" i="1"/>
  <c r="GS61" i="1" s="1"/>
  <c r="KQ50" i="1"/>
  <c r="KT50" i="1" s="1"/>
  <c r="BF52" i="1"/>
  <c r="AZ53" i="1"/>
  <c r="BY53" i="1"/>
  <c r="EZ53" i="1"/>
  <c r="GV53" i="1" s="1"/>
  <c r="KT53" i="1"/>
  <c r="BX54" i="1"/>
  <c r="EZ54" i="1"/>
  <c r="GV54" i="1" s="1"/>
  <c r="AB55" i="1"/>
  <c r="FQ55" i="1"/>
  <c r="GU55" i="1" s="1"/>
  <c r="JG55" i="1"/>
  <c r="JJ55" i="1" s="1"/>
  <c r="GT24" i="1"/>
  <c r="GT60" i="1" s="1"/>
  <c r="HQ24" i="1"/>
  <c r="IL24" i="1"/>
  <c r="KQ24" i="1"/>
  <c r="BF25" i="1"/>
  <c r="CF38" i="1"/>
  <c r="Q50" i="1"/>
  <c r="GT50" i="1"/>
  <c r="GT61" i="1" s="1"/>
  <c r="N24" i="1"/>
  <c r="KF24" i="1"/>
  <c r="BG25" i="1"/>
  <c r="AZ34" i="1"/>
  <c r="CE55" i="1"/>
  <c r="R5" i="1"/>
  <c r="AR15" i="1"/>
  <c r="CG15" i="1"/>
  <c r="GW15" i="1"/>
  <c r="GW16" i="1"/>
  <c r="AR17" i="1"/>
  <c r="GW17" i="1"/>
  <c r="R20" i="1"/>
  <c r="BH20" i="1"/>
  <c r="BY24" i="1"/>
  <c r="GC24" i="1"/>
  <c r="IE24" i="1"/>
  <c r="KS33" i="1"/>
  <c r="JJ34" i="1"/>
  <c r="CG35" i="1"/>
  <c r="EN36" i="1"/>
  <c r="EL37" i="1"/>
  <c r="EL60" i="1" s="1"/>
  <c r="KT43" i="1"/>
  <c r="EN47" i="1"/>
  <c r="GV47" i="1"/>
  <c r="HQ50" i="1"/>
  <c r="JG50" i="1"/>
  <c r="KP50" i="1"/>
  <c r="KS50" i="1" s="1"/>
  <c r="O52" i="1"/>
  <c r="BG52" i="1"/>
  <c r="BX53" i="1"/>
  <c r="AN54" i="1"/>
  <c r="AY55" i="1"/>
  <c r="CF55" i="1"/>
  <c r="DW55" i="1"/>
  <c r="EN55" i="1" s="1"/>
  <c r="JF55" i="1"/>
  <c r="JI55" i="1" s="1"/>
  <c r="KP55" i="1"/>
  <c r="KS55" i="1" s="1"/>
  <c r="EM56" i="1"/>
  <c r="GU56" i="1"/>
  <c r="JI56" i="1"/>
  <c r="R7" i="1"/>
  <c r="JK8" i="1"/>
  <c r="JK9" i="1"/>
  <c r="EO10" i="1"/>
  <c r="EO11" i="1"/>
  <c r="BH12" i="1"/>
  <c r="JK12" i="1"/>
  <c r="BH13" i="1"/>
  <c r="EO14" i="1"/>
  <c r="JK14" i="1"/>
  <c r="GW18" i="1"/>
  <c r="AR21" i="1"/>
  <c r="EO19" i="1"/>
  <c r="CF26" i="1"/>
  <c r="AY28" i="1"/>
  <c r="GV28" i="1"/>
  <c r="EN29" i="1"/>
  <c r="EN35" i="1"/>
  <c r="GU35" i="1"/>
  <c r="KT37" i="1"/>
  <c r="AB42" i="1"/>
  <c r="AQ46" i="1"/>
  <c r="JJ46" i="1"/>
  <c r="KT46" i="1"/>
  <c r="AP48" i="1"/>
  <c r="JI48" i="1"/>
  <c r="KS48" i="1"/>
  <c r="EM49" i="1"/>
  <c r="JI49" i="1"/>
  <c r="R57" i="1"/>
  <c r="JJ57" i="1"/>
  <c r="KT57" i="1"/>
  <c r="GV58" i="1"/>
  <c r="JJ59" i="1"/>
  <c r="EN38" i="1"/>
  <c r="GV41" i="1"/>
  <c r="JK7" i="1"/>
  <c r="EO9" i="1"/>
  <c r="JK10" i="1"/>
  <c r="BH11" i="1"/>
  <c r="EO12" i="1"/>
  <c r="R13" i="1"/>
  <c r="BH14" i="1"/>
  <c r="KU18" i="1"/>
  <c r="CG21" i="1"/>
  <c r="AB30" i="1"/>
  <c r="BH43" i="1"/>
  <c r="R44" i="1"/>
  <c r="EM59" i="1"/>
  <c r="AP22" i="1"/>
  <c r="GU22" i="1"/>
  <c r="JI22" i="1"/>
  <c r="BF32" i="1"/>
  <c r="EN32" i="1"/>
  <c r="JI32" i="1"/>
  <c r="Q36" i="1"/>
  <c r="AB36" i="1"/>
  <c r="AZ36" i="1"/>
  <c r="KS37" i="1"/>
  <c r="P38" i="1"/>
  <c r="EN39" i="1"/>
  <c r="KS39" i="1"/>
  <c r="GU42" i="1"/>
  <c r="GU43" i="1"/>
  <c r="JI43" i="1"/>
  <c r="AB53" i="1"/>
  <c r="EM58" i="1"/>
  <c r="GU58" i="1"/>
  <c r="KS58" i="1"/>
  <c r="AB59" i="1"/>
  <c r="R30" i="1"/>
  <c r="EM33" i="1"/>
  <c r="AR5" i="1"/>
  <c r="CG5" i="1"/>
  <c r="GW5" i="1"/>
  <c r="R15" i="1"/>
  <c r="R16" i="1"/>
  <c r="BH16" i="1"/>
  <c r="EO16" i="1"/>
  <c r="JK16" i="1"/>
  <c r="EO17" i="1"/>
  <c r="JK17" i="1"/>
  <c r="AR19" i="1"/>
  <c r="CG19" i="1"/>
  <c r="BH29" i="1"/>
  <c r="BF38" i="1"/>
  <c r="AY38" i="1"/>
  <c r="CE39" i="1"/>
  <c r="GV34" i="1"/>
  <c r="EM35" i="1"/>
  <c r="CE29" i="1"/>
  <c r="CG29" i="1" s="1"/>
  <c r="BX29" i="1"/>
  <c r="BG32" i="1"/>
  <c r="BH7" i="1"/>
  <c r="EO7" i="1"/>
  <c r="JK11" i="1"/>
  <c r="EO13" i="1"/>
  <c r="JK13" i="1"/>
  <c r="AR18" i="1"/>
  <c r="CG18" i="1"/>
  <c r="GW21" i="1"/>
  <c r="KU21" i="1"/>
  <c r="GV26" i="1"/>
  <c r="JJ27" i="1"/>
  <c r="JI28" i="1"/>
  <c r="KS29" i="1"/>
  <c r="P36" i="1"/>
  <c r="AP36" i="1"/>
  <c r="GV38" i="1"/>
  <c r="BG42" i="1"/>
  <c r="AZ42" i="1"/>
  <c r="CG51" i="1"/>
  <c r="R59" i="1"/>
  <c r="KW5" i="1"/>
  <c r="LD5" i="1" s="1"/>
  <c r="BH5" i="1"/>
  <c r="EO5" i="1"/>
  <c r="JK5" i="1"/>
  <c r="AR7" i="1"/>
  <c r="CG7" i="1"/>
  <c r="GW7" i="1"/>
  <c r="KU7" i="1"/>
  <c r="GW8" i="1"/>
  <c r="KU8" i="1"/>
  <c r="GW9" i="1"/>
  <c r="KU9" i="1"/>
  <c r="CG10" i="1"/>
  <c r="GW10" i="1"/>
  <c r="CG11" i="1"/>
  <c r="GW11" i="1"/>
  <c r="KU11" i="1"/>
  <c r="AR12" i="1"/>
  <c r="CG12" i="1"/>
  <c r="AR13" i="1"/>
  <c r="CG13" i="1"/>
  <c r="GW13" i="1"/>
  <c r="KU13" i="1"/>
  <c r="AR14" i="1"/>
  <c r="KU14" i="1"/>
  <c r="AR16" i="1"/>
  <c r="CG16" i="1"/>
  <c r="KU16" i="1"/>
  <c r="R18" i="1"/>
  <c r="BH18" i="1"/>
  <c r="EO18" i="1"/>
  <c r="R19" i="1"/>
  <c r="BH19" i="1"/>
  <c r="CG20" i="1"/>
  <c r="EO21" i="1"/>
  <c r="JK21" i="1"/>
  <c r="AQ22" i="1"/>
  <c r="CF22" i="1"/>
  <c r="AB24" i="1"/>
  <c r="GU26" i="1"/>
  <c r="CG27" i="1"/>
  <c r="GU27" i="1"/>
  <c r="EM28" i="1"/>
  <c r="GU28" i="1"/>
  <c r="AP29" i="1"/>
  <c r="JJ29" i="1"/>
  <c r="CG30" i="1"/>
  <c r="GV30" i="1"/>
  <c r="EN31" i="1"/>
  <c r="JJ31" i="1"/>
  <c r="KT31" i="1"/>
  <c r="Q32" i="1"/>
  <c r="JI33" i="1"/>
  <c r="AB34" i="1"/>
  <c r="AP35" i="1"/>
  <c r="JJ35" i="1"/>
  <c r="Q37" i="1"/>
  <c r="BG37" i="1"/>
  <c r="AZ37" i="1"/>
  <c r="BG38" i="1"/>
  <c r="AZ38" i="1"/>
  <c r="JJ39" i="1"/>
  <c r="CF40" i="1"/>
  <c r="BY40" i="1"/>
  <c r="EN41" i="1"/>
  <c r="AP42" i="1"/>
  <c r="AQ57" i="1"/>
  <c r="EM30" i="1"/>
  <c r="JI30" i="1"/>
  <c r="KS30" i="1"/>
  <c r="EM31" i="1"/>
  <c r="GU31" i="1"/>
  <c r="AQ33" i="1"/>
  <c r="JJ33" i="1"/>
  <c r="BF35" i="1"/>
  <c r="JI35" i="1"/>
  <c r="KS35" i="1"/>
  <c r="KT36" i="1"/>
  <c r="Q38" i="1"/>
  <c r="JJ38" i="1"/>
  <c r="KT38" i="1"/>
  <c r="AQ39" i="1"/>
  <c r="BF39" i="1"/>
  <c r="EM39" i="1"/>
  <c r="JI39" i="1"/>
  <c r="BG40" i="1"/>
  <c r="EN40" i="1"/>
  <c r="EN42" i="1"/>
  <c r="GV42" i="1"/>
  <c r="KS42" i="1"/>
  <c r="AR44" i="1"/>
  <c r="GU44" i="1"/>
  <c r="JJ44" i="1"/>
  <c r="KT44" i="1"/>
  <c r="CG46" i="1"/>
  <c r="AB48" i="1"/>
  <c r="BH48" i="1"/>
  <c r="CG49" i="1"/>
  <c r="GV49" i="1"/>
  <c r="EM50" i="1"/>
  <c r="AP51" i="1"/>
  <c r="JJ51" i="1"/>
  <c r="KT51" i="1"/>
  <c r="FI52" i="1"/>
  <c r="GV52" i="1" s="1"/>
  <c r="JJ56" i="1"/>
  <c r="GU57" i="1"/>
  <c r="JI57" i="1"/>
  <c r="KS57" i="1"/>
  <c r="AP58" i="1"/>
  <c r="BH58" i="1"/>
  <c r="JJ58" i="1"/>
  <c r="KT58" i="1"/>
  <c r="JI59" i="1"/>
  <c r="KS59" i="1"/>
  <c r="JI44" i="1"/>
  <c r="KS44" i="1"/>
  <c r="JI51" i="1"/>
  <c r="KS51" i="1"/>
  <c r="EN52" i="1"/>
  <c r="AP55" i="1"/>
  <c r="R58" i="1"/>
  <c r="CE58" i="1"/>
  <c r="GV59" i="1"/>
  <c r="KW14" i="1"/>
  <c r="LD14" i="1" s="1"/>
  <c r="KX17" i="1"/>
  <c r="LE17" i="1" s="1"/>
  <c r="KU17" i="1"/>
  <c r="JK18" i="1"/>
  <c r="BF34" i="1"/>
  <c r="AY34" i="1"/>
  <c r="GV40" i="1"/>
  <c r="EN51" i="1"/>
  <c r="BY58" i="1"/>
  <c r="CF58" i="1"/>
  <c r="AP59" i="1"/>
  <c r="AA59" i="1"/>
  <c r="R8" i="1"/>
  <c r="BH8" i="1"/>
  <c r="EO8" i="1"/>
  <c r="AR9" i="1"/>
  <c r="CG9" i="1"/>
  <c r="R10" i="1"/>
  <c r="BH10" i="1"/>
  <c r="AR11" i="1"/>
  <c r="R12" i="1"/>
  <c r="R14" i="1"/>
  <c r="KX19" i="1"/>
  <c r="LE19" i="1" s="1"/>
  <c r="KU19" i="1"/>
  <c r="JK20" i="1"/>
  <c r="R21" i="1"/>
  <c r="BF22" i="1"/>
  <c r="CE22" i="1"/>
  <c r="EN22" i="1"/>
  <c r="GV22" i="1"/>
  <c r="O24" i="1"/>
  <c r="CE24" i="1"/>
  <c r="KP24" i="1"/>
  <c r="AP25" i="1"/>
  <c r="AY25" i="1"/>
  <c r="GU25" i="1"/>
  <c r="AY26" i="1"/>
  <c r="EN26" i="1"/>
  <c r="JI26" i="1"/>
  <c r="KT26" i="1"/>
  <c r="R27" i="1"/>
  <c r="EM27" i="1"/>
  <c r="JI27" i="1"/>
  <c r="AZ28" i="1"/>
  <c r="CG28" i="1"/>
  <c r="JJ28" i="1"/>
  <c r="AA29" i="1"/>
  <c r="BY29" i="1"/>
  <c r="GU29" i="1"/>
  <c r="JI29" i="1"/>
  <c r="AA30" i="1"/>
  <c r="AP32" i="1"/>
  <c r="AZ33" i="1"/>
  <c r="BG33" i="1"/>
  <c r="EN34" i="1"/>
  <c r="JJ36" i="1"/>
  <c r="GV37" i="1"/>
  <c r="BH47" i="1"/>
  <c r="AN50" i="1"/>
  <c r="AP31" i="1"/>
  <c r="EN33" i="1"/>
  <c r="CE41" i="1"/>
  <c r="BX41" i="1"/>
  <c r="CF48" i="1"/>
  <c r="BY48" i="1"/>
  <c r="KU5" i="1"/>
  <c r="KU15" i="1"/>
  <c r="GW19" i="1"/>
  <c r="EO20" i="1"/>
  <c r="BG26" i="1"/>
  <c r="JJ26" i="1"/>
  <c r="BO33" i="1"/>
  <c r="GU37" i="1"/>
  <c r="GU38" i="1"/>
  <c r="EM40" i="1"/>
  <c r="CG44" i="1"/>
  <c r="CE47" i="1"/>
  <c r="P22" i="1"/>
  <c r="AR8" i="1"/>
  <c r="CG8" i="1"/>
  <c r="R9" i="1"/>
  <c r="BH9" i="1"/>
  <c r="AR10" i="1"/>
  <c r="KW11" i="1"/>
  <c r="LD11" i="1" s="1"/>
  <c r="KW13" i="1"/>
  <c r="LD13" i="1" s="1"/>
  <c r="CG17" i="1"/>
  <c r="KU20" i="1"/>
  <c r="BH21" i="1"/>
  <c r="BG22" i="1"/>
  <c r="EM22" i="1"/>
  <c r="KS22" i="1"/>
  <c r="AQ24" i="1"/>
  <c r="CF24" i="1"/>
  <c r="KG24" i="1"/>
  <c r="AB25" i="1"/>
  <c r="AZ25" i="1"/>
  <c r="CG25" i="1"/>
  <c r="GV25" i="1"/>
  <c r="JJ25" i="1"/>
  <c r="AP27" i="1"/>
  <c r="AR27" i="1" s="1"/>
  <c r="BH27" i="1"/>
  <c r="EN27" i="1"/>
  <c r="GV27" i="1"/>
  <c r="KS27" i="1"/>
  <c r="AP28" i="1"/>
  <c r="BX28" i="1"/>
  <c r="EN28" i="1"/>
  <c r="KS28" i="1"/>
  <c r="AQ29" i="1"/>
  <c r="EM29" i="1"/>
  <c r="GV29" i="1"/>
  <c r="KT29" i="1"/>
  <c r="AR30" i="1"/>
  <c r="GV31" i="1"/>
  <c r="KT34" i="1"/>
  <c r="GU36" i="1"/>
  <c r="GV39" i="1"/>
  <c r="GU40" i="1"/>
  <c r="AA46" i="1"/>
  <c r="AP46" i="1"/>
  <c r="JJ47" i="1"/>
  <c r="BH49" i="1"/>
  <c r="GU30" i="1"/>
  <c r="JJ30" i="1"/>
  <c r="KT30" i="1"/>
  <c r="BH31" i="1"/>
  <c r="JI31" i="1"/>
  <c r="CG32" i="1"/>
  <c r="GU32" i="1"/>
  <c r="CG34" i="1"/>
  <c r="KS34" i="1"/>
  <c r="R35" i="1"/>
  <c r="AQ35" i="1"/>
  <c r="AQ36" i="1"/>
  <c r="CE36" i="1"/>
  <c r="JI36" i="1"/>
  <c r="P37" i="1"/>
  <c r="CF37" i="1"/>
  <c r="JI37" i="1"/>
  <c r="AP38" i="1"/>
  <c r="CE38" i="1"/>
  <c r="AQ40" i="1"/>
  <c r="BF40" i="1"/>
  <c r="CE40" i="1"/>
  <c r="BF41" i="1"/>
  <c r="EM41" i="1"/>
  <c r="KT41" i="1"/>
  <c r="CG42" i="1"/>
  <c r="KT42" i="1"/>
  <c r="AP43" i="1"/>
  <c r="EN43" i="1"/>
  <c r="GV43" i="1"/>
  <c r="JJ43" i="1"/>
  <c r="BH46" i="1"/>
  <c r="EM46" i="1"/>
  <c r="GU46" i="1"/>
  <c r="JI46" i="1"/>
  <c r="AQ47" i="1"/>
  <c r="CF47" i="1"/>
  <c r="GU47" i="1"/>
  <c r="KT47" i="1"/>
  <c r="AQ48" i="1"/>
  <c r="GU48" i="1"/>
  <c r="Q49" i="1"/>
  <c r="AQ49" i="1"/>
  <c r="EN49" i="1"/>
  <c r="JJ53" i="1"/>
  <c r="CG57" i="1"/>
  <c r="GV32" i="1"/>
  <c r="KT32" i="1"/>
  <c r="AA33" i="1"/>
  <c r="KT33" i="1"/>
  <c r="EM34" i="1"/>
  <c r="GU34" i="1"/>
  <c r="CF36" i="1"/>
  <c r="EM36" i="1"/>
  <c r="AA37" i="1"/>
  <c r="AP37" i="1"/>
  <c r="AB38" i="1"/>
  <c r="GU39" i="1"/>
  <c r="KT39" i="1"/>
  <c r="AP40" i="1"/>
  <c r="JI40" i="1"/>
  <c r="KS40" i="1"/>
  <c r="GU41" i="1"/>
  <c r="JI41" i="1"/>
  <c r="KS41" i="1"/>
  <c r="R42" i="1"/>
  <c r="EM42" i="1"/>
  <c r="EN44" i="1"/>
  <c r="GV46" i="1"/>
  <c r="KS46" i="1"/>
  <c r="AA47" i="1"/>
  <c r="JI47" i="1"/>
  <c r="AA48" i="1"/>
  <c r="EM48" i="1"/>
  <c r="KT48" i="1"/>
  <c r="P49" i="1"/>
  <c r="AA49" i="1"/>
  <c r="GU49" i="1"/>
  <c r="KS49" i="1"/>
  <c r="BH51" i="1"/>
  <c r="AR52" i="1"/>
  <c r="JI53" i="1"/>
  <c r="JJ49" i="1"/>
  <c r="KT49" i="1"/>
  <c r="EM51" i="1"/>
  <c r="GU51" i="1"/>
  <c r="CG52" i="1"/>
  <c r="EM52" i="1"/>
  <c r="KS52" i="1"/>
  <c r="EM53" i="1"/>
  <c r="AP56" i="1"/>
  <c r="AR56" i="1" s="1"/>
  <c r="BH56" i="1"/>
  <c r="EN56" i="1"/>
  <c r="GV56" i="1"/>
  <c r="KS56" i="1"/>
  <c r="AP57" i="1"/>
  <c r="EM57" i="1"/>
  <c r="AQ58" i="1"/>
  <c r="JI58" i="1"/>
  <c r="AA51" i="1"/>
  <c r="JJ52" i="1"/>
  <c r="KT52" i="1"/>
  <c r="Q53" i="1"/>
  <c r="EN53" i="1"/>
  <c r="KS53" i="1"/>
  <c r="AQ55" i="1"/>
  <c r="CG56" i="1"/>
  <c r="KT56" i="1"/>
  <c r="EN57" i="1"/>
  <c r="GV57" i="1"/>
  <c r="R33" i="1"/>
  <c r="BH28" i="1"/>
  <c r="EM26" i="1"/>
  <c r="R31" i="1"/>
  <c r="EM44" i="1"/>
  <c r="KT28" i="1"/>
  <c r="JJ37" i="1"/>
  <c r="KW7" i="1"/>
  <c r="KW10" i="1"/>
  <c r="LD10" i="1" s="1"/>
  <c r="KX10" i="1"/>
  <c r="R11" i="1"/>
  <c r="KX13" i="1"/>
  <c r="KW20" i="1"/>
  <c r="LD20" i="1" s="1"/>
  <c r="KX20" i="1"/>
  <c r="R28" i="1"/>
  <c r="AA35" i="1"/>
  <c r="R40" i="1"/>
  <c r="R48" i="1"/>
  <c r="R51" i="1"/>
  <c r="AA52" i="1"/>
  <c r="AQ53" i="1"/>
  <c r="CF53" i="1"/>
  <c r="AP54" i="1"/>
  <c r="EN54" i="1"/>
  <c r="R56" i="1"/>
  <c r="KX5" i="1"/>
  <c r="KX7" i="1"/>
  <c r="KW9" i="1"/>
  <c r="LD9" i="1" s="1"/>
  <c r="KW12" i="1"/>
  <c r="LD12" i="1" s="1"/>
  <c r="KX12" i="1"/>
  <c r="KX15" i="1"/>
  <c r="KW17" i="1"/>
  <c r="LD17" i="1" s="1"/>
  <c r="KW19" i="1"/>
  <c r="KW21" i="1"/>
  <c r="LD21" i="1" s="1"/>
  <c r="KX21" i="1"/>
  <c r="FR24" i="1"/>
  <c r="AQ26" i="1"/>
  <c r="AB28" i="1"/>
  <c r="JJ32" i="1"/>
  <c r="GU33" i="1"/>
  <c r="AQ34" i="1"/>
  <c r="GV36" i="1"/>
  <c r="CE37" i="1"/>
  <c r="EM38" i="1"/>
  <c r="BG39" i="1"/>
  <c r="AQ42" i="1"/>
  <c r="BF42" i="1"/>
  <c r="CE48" i="1"/>
  <c r="BH50" i="1"/>
  <c r="R54" i="1"/>
  <c r="KS54" i="1"/>
  <c r="KQ55" i="1"/>
  <c r="KX14" i="1"/>
  <c r="R25" i="1"/>
  <c r="KF25" i="1"/>
  <c r="KS25" i="1" s="1"/>
  <c r="BY26" i="1"/>
  <c r="BY28" i="1"/>
  <c r="R29" i="1"/>
  <c r="AQ32" i="1"/>
  <c r="BP36" i="1"/>
  <c r="AP39" i="1"/>
  <c r="AA39" i="1"/>
  <c r="AB40" i="1"/>
  <c r="AP41" i="1"/>
  <c r="AA41" i="1"/>
  <c r="JJ41" i="1"/>
  <c r="JI42" i="1"/>
  <c r="R46" i="1"/>
  <c r="EN46" i="1"/>
  <c r="EN50" i="1"/>
  <c r="AQ51" i="1"/>
  <c r="AB51" i="1"/>
  <c r="AM54" i="1"/>
  <c r="JJ54" i="1"/>
  <c r="AA58" i="1"/>
  <c r="AY59" i="1"/>
  <c r="KW8" i="1"/>
  <c r="LD8" i="1" s="1"/>
  <c r="KX8" i="1"/>
  <c r="KX11" i="1"/>
  <c r="KW16" i="1"/>
  <c r="LD16" i="1" s="1"/>
  <c r="KX16" i="1"/>
  <c r="KW18" i="1"/>
  <c r="KX18" i="1"/>
  <c r="AN24" i="1"/>
  <c r="BF24" i="1"/>
  <c r="BP24" i="1"/>
  <c r="JF24" i="1"/>
  <c r="AA25" i="1"/>
  <c r="CO25" i="1"/>
  <c r="EN25" i="1" s="1"/>
  <c r="R26" i="1"/>
  <c r="CE33" i="1"/>
  <c r="R34" i="1"/>
  <c r="AQ38" i="1"/>
  <c r="R39" i="1"/>
  <c r="R41" i="1"/>
  <c r="BG41" i="1"/>
  <c r="R43" i="1"/>
  <c r="BX43" i="1"/>
  <c r="KS43" i="1"/>
  <c r="GV44" i="1"/>
  <c r="AB47" i="1"/>
  <c r="AB49" i="1"/>
  <c r="GV51" i="1"/>
  <c r="CE54" i="1"/>
  <c r="EY54" i="1"/>
  <c r="P55" i="1"/>
  <c r="BF55" i="1"/>
  <c r="FR55" i="1"/>
  <c r="GV55" i="1" s="1"/>
  <c r="BX58" i="1"/>
  <c r="EN58" i="1"/>
  <c r="EN59" i="1"/>
  <c r="KT59" i="1"/>
  <c r="Q22" i="1"/>
  <c r="Q24" i="1"/>
  <c r="AP24" i="1"/>
  <c r="GS24" i="1"/>
  <c r="GS60" i="1" s="1"/>
  <c r="AP26" i="1"/>
  <c r="AA28" i="1"/>
  <c r="AB29" i="1"/>
  <c r="AQ31" i="1"/>
  <c r="AB33" i="1"/>
  <c r="AP34" i="1"/>
  <c r="AA50" i="1"/>
  <c r="BF53" i="1"/>
  <c r="AA54" i="1"/>
  <c r="BH54" i="1"/>
  <c r="BF57" i="1"/>
  <c r="BH57" i="1" s="1"/>
  <c r="AA24" i="1"/>
  <c r="AM24" i="1"/>
  <c r="BG24" i="1"/>
  <c r="BO24" i="1"/>
  <c r="BX24" i="1"/>
  <c r="DW24" i="1"/>
  <c r="EN24" i="1" s="1"/>
  <c r="FQ24" i="1"/>
  <c r="GB24" i="1"/>
  <c r="JG24" i="1"/>
  <c r="CN25" i="1"/>
  <c r="EM25" i="1" s="1"/>
  <c r="KG25" i="1"/>
  <c r="KT25" i="1" s="1"/>
  <c r="AZ26" i="1"/>
  <c r="AB27" i="1"/>
  <c r="AA32" i="1"/>
  <c r="BF33" i="1"/>
  <c r="AY33" i="1"/>
  <c r="CF33" i="1"/>
  <c r="GV33" i="1"/>
  <c r="AY40" i="1"/>
  <c r="EM43" i="1"/>
  <c r="AP50" i="1"/>
  <c r="CE50" i="1"/>
  <c r="Q52" i="1"/>
  <c r="FH52" i="1"/>
  <c r="GU52" i="1" s="1"/>
  <c r="AY53" i="1"/>
  <c r="AB35" i="1"/>
  <c r="AA36" i="1"/>
  <c r="AB37" i="1"/>
  <c r="BF37" i="1"/>
  <c r="AA38" i="1"/>
  <c r="AA40" i="1"/>
  <c r="AB41" i="1"/>
  <c r="CF41" i="1"/>
  <c r="AA42" i="1"/>
  <c r="AQ43" i="1"/>
  <c r="CF43" i="1"/>
  <c r="CG43" i="1" s="1"/>
  <c r="AB46" i="1"/>
  <c r="AP47" i="1"/>
  <c r="BX47" i="1"/>
  <c r="AP49" i="1"/>
  <c r="CF50" i="1"/>
  <c r="N52" i="1"/>
  <c r="AB52" i="1"/>
  <c r="AP53" i="1"/>
  <c r="BG53" i="1"/>
  <c r="CE53" i="1"/>
  <c r="AB54" i="1"/>
  <c r="AQ54" i="1"/>
  <c r="BY54" i="1"/>
  <c r="JI54" i="1"/>
  <c r="KT54" i="1"/>
  <c r="Q55" i="1"/>
  <c r="AZ55" i="1"/>
  <c r="BG55" i="1"/>
  <c r="AB56" i="1"/>
  <c r="AB58" i="1"/>
  <c r="AZ59" i="1"/>
  <c r="AA34" i="1"/>
  <c r="AY35" i="1"/>
  <c r="BP37" i="1"/>
  <c r="EK37" i="1"/>
  <c r="EM37" i="1" s="1"/>
  <c r="AB39" i="1"/>
  <c r="AY39" i="1"/>
  <c r="BY39" i="1"/>
  <c r="BX40" i="1"/>
  <c r="AY41" i="1"/>
  <c r="AA44" i="1"/>
  <c r="P50" i="1"/>
  <c r="AB50" i="1"/>
  <c r="AQ50" i="1"/>
  <c r="P52" i="1"/>
  <c r="CF54" i="1"/>
  <c r="EM54" i="1"/>
  <c r="AA55" i="1"/>
  <c r="IH63" i="1" l="1"/>
  <c r="IL63" i="1" s="1"/>
  <c r="HQ60" i="1"/>
  <c r="HT63" i="1"/>
  <c r="ID63" i="1" s="1"/>
  <c r="GV50" i="1"/>
  <c r="R32" i="1"/>
  <c r="KU62" i="1"/>
  <c r="JK32" i="1"/>
  <c r="JK52" i="1"/>
  <c r="AZ62" i="1"/>
  <c r="GW58" i="1"/>
  <c r="JK22" i="1"/>
  <c r="FL63" i="1"/>
  <c r="FR63" i="1" s="1"/>
  <c r="BH35" i="1"/>
  <c r="BH61" i="1"/>
  <c r="AV63" i="1"/>
  <c r="AZ63" i="1" s="1"/>
  <c r="BS63" i="1"/>
  <c r="BY63" i="1" s="1"/>
  <c r="BG60" i="1"/>
  <c r="GW53" i="1"/>
  <c r="KJ63" i="1"/>
  <c r="KP63" i="1" s="1"/>
  <c r="AB62" i="1"/>
  <c r="CG61" i="1"/>
  <c r="FK63" i="1"/>
  <c r="FQ63" i="1" s="1"/>
  <c r="GV61" i="1"/>
  <c r="BR63" i="1"/>
  <c r="BX63" i="1" s="1"/>
  <c r="GU62" i="1"/>
  <c r="GS63" i="1"/>
  <c r="R38" i="1"/>
  <c r="AA61" i="1"/>
  <c r="AR37" i="1"/>
  <c r="W63" i="1"/>
  <c r="EO30" i="1"/>
  <c r="EO47" i="1"/>
  <c r="AU63" i="1"/>
  <c r="BF63" i="1" s="1"/>
  <c r="JK62" i="1"/>
  <c r="EN61" i="1"/>
  <c r="P60" i="1"/>
  <c r="JK40" i="1"/>
  <c r="EV63" i="1"/>
  <c r="EZ63" i="1" s="1"/>
  <c r="CX63" i="1"/>
  <c r="DV63" i="1" s="1"/>
  <c r="CN60" i="1"/>
  <c r="CN63" i="1" s="1"/>
  <c r="JK61" i="1"/>
  <c r="EN62" i="1"/>
  <c r="AR25" i="1"/>
  <c r="EL63" i="1"/>
  <c r="BH25" i="1"/>
  <c r="JI50" i="1"/>
  <c r="CY63" i="1"/>
  <c r="DW63" i="1" s="1"/>
  <c r="BF60" i="1"/>
  <c r="KU43" i="1"/>
  <c r="GC60" i="1"/>
  <c r="GV60" i="1" s="1"/>
  <c r="FU63" i="1"/>
  <c r="GC63" i="1" s="1"/>
  <c r="AN60" i="1"/>
  <c r="AJ63" i="1"/>
  <c r="AN63" i="1" s="1"/>
  <c r="EY60" i="1"/>
  <c r="EU63" i="1"/>
  <c r="EY63" i="1" s="1"/>
  <c r="KG60" i="1"/>
  <c r="JO63" i="1"/>
  <c r="KG63" i="1" s="1"/>
  <c r="BP60" i="1"/>
  <c r="BL63" i="1"/>
  <c r="CF60" i="1"/>
  <c r="KQ60" i="1"/>
  <c r="KK63" i="1"/>
  <c r="KQ63" i="1" s="1"/>
  <c r="FT63" i="1"/>
  <c r="GB63" i="1" s="1"/>
  <c r="GB60" i="1"/>
  <c r="GT63" i="1"/>
  <c r="EM61" i="1"/>
  <c r="IE60" i="1"/>
  <c r="HU63" i="1"/>
  <c r="IE63" i="1" s="1"/>
  <c r="H63" i="1"/>
  <c r="AP61" i="1"/>
  <c r="CO60" i="1"/>
  <c r="Q60" i="1"/>
  <c r="F63" i="1"/>
  <c r="DV60" i="1"/>
  <c r="CE60" i="1"/>
  <c r="BK63" i="1"/>
  <c r="BO60" i="1"/>
  <c r="G63" i="1"/>
  <c r="P63" i="1" s="1"/>
  <c r="JG60" i="1"/>
  <c r="IS63" i="1"/>
  <c r="JG63" i="1" s="1"/>
  <c r="R62" i="1"/>
  <c r="CD63" i="1"/>
  <c r="AM60" i="1"/>
  <c r="AI63" i="1"/>
  <c r="AM63" i="1" s="1"/>
  <c r="EM62" i="1"/>
  <c r="AE63" i="1"/>
  <c r="KF60" i="1"/>
  <c r="KS60" i="1" s="1"/>
  <c r="JN63" i="1"/>
  <c r="KF63" i="1" s="1"/>
  <c r="JI60" i="1"/>
  <c r="CG62" i="1"/>
  <c r="AY62" i="1"/>
  <c r="BF62" i="1"/>
  <c r="BH62" i="1" s="1"/>
  <c r="AA62" i="1"/>
  <c r="AP62" i="1"/>
  <c r="AR62" i="1" s="1"/>
  <c r="AB60" i="1"/>
  <c r="AQ60" i="1"/>
  <c r="V63" i="1"/>
  <c r="X63" i="1"/>
  <c r="EK60" i="1"/>
  <c r="EK63" i="1" s="1"/>
  <c r="GV62" i="1"/>
  <c r="R61" i="1"/>
  <c r="AB61" i="1"/>
  <c r="AQ61" i="1"/>
  <c r="AA60" i="1"/>
  <c r="AP60" i="1"/>
  <c r="U63" i="1"/>
  <c r="GU61" i="1"/>
  <c r="IR63" i="1"/>
  <c r="JF63" i="1" s="1"/>
  <c r="KU36" i="1"/>
  <c r="AR39" i="1"/>
  <c r="JK29" i="1"/>
  <c r="GW22" i="1"/>
  <c r="GW42" i="1"/>
  <c r="BH37" i="1"/>
  <c r="GW41" i="1"/>
  <c r="KU47" i="1"/>
  <c r="BH40" i="1"/>
  <c r="JK31" i="1"/>
  <c r="KU44" i="1"/>
  <c r="KU57" i="1"/>
  <c r="CG26" i="1"/>
  <c r="BH36" i="1"/>
  <c r="AR42" i="1"/>
  <c r="KU32" i="1"/>
  <c r="EO58" i="1"/>
  <c r="JK25" i="1"/>
  <c r="KU31" i="1"/>
  <c r="AR58" i="1"/>
  <c r="GW46" i="1"/>
  <c r="KU22" i="1"/>
  <c r="EO43" i="1"/>
  <c r="JK59" i="1"/>
  <c r="EO35" i="1"/>
  <c r="JK56" i="1"/>
  <c r="CG36" i="1"/>
  <c r="JK44" i="1"/>
  <c r="JK57" i="1"/>
  <c r="KU35" i="1"/>
  <c r="AR51" i="1"/>
  <c r="KU49" i="1"/>
  <c r="JK36" i="1"/>
  <c r="JK30" i="1"/>
  <c r="JK39" i="1"/>
  <c r="AR55" i="1"/>
  <c r="EO48" i="1"/>
  <c r="KU40" i="1"/>
  <c r="CG58" i="1"/>
  <c r="EO32" i="1"/>
  <c r="KU38" i="1"/>
  <c r="R53" i="1"/>
  <c r="CG24" i="1"/>
  <c r="BH26" i="1"/>
  <c r="CG22" i="1"/>
  <c r="KU25" i="1"/>
  <c r="JK48" i="1"/>
  <c r="EO38" i="1"/>
  <c r="EO44" i="1"/>
  <c r="KU39" i="1"/>
  <c r="GW48" i="1"/>
  <c r="EO28" i="1"/>
  <c r="GW27" i="1"/>
  <c r="KS24" i="1"/>
  <c r="GW59" i="1"/>
  <c r="EO52" i="1"/>
  <c r="R37" i="1"/>
  <c r="AR22" i="1"/>
  <c r="JK34" i="1"/>
  <c r="R49" i="1"/>
  <c r="JK28" i="1"/>
  <c r="KY9" i="1"/>
  <c r="GW57" i="1"/>
  <c r="EO36" i="1"/>
  <c r="AR46" i="1"/>
  <c r="BH34" i="1"/>
  <c r="JK38" i="1"/>
  <c r="CG55" i="1"/>
  <c r="BH52" i="1"/>
  <c r="GW47" i="1"/>
  <c r="JK41" i="1"/>
  <c r="JK49" i="1"/>
  <c r="GW49" i="1"/>
  <c r="KU33" i="1"/>
  <c r="EN37" i="1"/>
  <c r="EO37" i="1" s="1"/>
  <c r="AR28" i="1"/>
  <c r="GW35" i="1"/>
  <c r="JK55" i="1"/>
  <c r="KX35" i="1"/>
  <c r="LE35" i="1" s="1"/>
  <c r="JK42" i="1"/>
  <c r="EO26" i="1"/>
  <c r="EO29" i="1"/>
  <c r="EO27" i="1"/>
  <c r="KT24" i="1"/>
  <c r="CG39" i="1"/>
  <c r="JJ50" i="1"/>
  <c r="AR33" i="1"/>
  <c r="GU50" i="1"/>
  <c r="EO53" i="1"/>
  <c r="AR29" i="1"/>
  <c r="KU51" i="1"/>
  <c r="GW28" i="1"/>
  <c r="AR41" i="1"/>
  <c r="EO56" i="1"/>
  <c r="KU27" i="1"/>
  <c r="JK51" i="1"/>
  <c r="AR57" i="1"/>
  <c r="GW30" i="1"/>
  <c r="GW26" i="1"/>
  <c r="BH32" i="1"/>
  <c r="JK46" i="1"/>
  <c r="GV24" i="1"/>
  <c r="KU53" i="1"/>
  <c r="CG38" i="1"/>
  <c r="KU26" i="1"/>
  <c r="KW46" i="1"/>
  <c r="LD46" i="1" s="1"/>
  <c r="AR31" i="1"/>
  <c r="EO59" i="1"/>
  <c r="GW55" i="1"/>
  <c r="BH39" i="1"/>
  <c r="KW58" i="1"/>
  <c r="LD58" i="1" s="1"/>
  <c r="KU48" i="1"/>
  <c r="KX48" i="1"/>
  <c r="LE48" i="1" s="1"/>
  <c r="AR47" i="1"/>
  <c r="GW43" i="1"/>
  <c r="CG40" i="1"/>
  <c r="AR35" i="1"/>
  <c r="KU30" i="1"/>
  <c r="GW38" i="1"/>
  <c r="EO34" i="1"/>
  <c r="KU58" i="1"/>
  <c r="EO39" i="1"/>
  <c r="JK35" i="1"/>
  <c r="KW31" i="1"/>
  <c r="LD31" i="1" s="1"/>
  <c r="KW30" i="1"/>
  <c r="LD30" i="1" s="1"/>
  <c r="EO41" i="1"/>
  <c r="JK33" i="1"/>
  <c r="EO31" i="1"/>
  <c r="EO33" i="1"/>
  <c r="BH33" i="1"/>
  <c r="KW34" i="1"/>
  <c r="LD34" i="1" s="1"/>
  <c r="KX57" i="1"/>
  <c r="LE57" i="1" s="1"/>
  <c r="AR43" i="1"/>
  <c r="GW33" i="1"/>
  <c r="KU59" i="1"/>
  <c r="KW57" i="1"/>
  <c r="LD57" i="1" s="1"/>
  <c r="JK53" i="1"/>
  <c r="JK43" i="1"/>
  <c r="KU42" i="1"/>
  <c r="AR36" i="1"/>
  <c r="KU29" i="1"/>
  <c r="BH22" i="1"/>
  <c r="EO40" i="1"/>
  <c r="EO22" i="1"/>
  <c r="KW59" i="1"/>
  <c r="LD59" i="1" s="1"/>
  <c r="GW40" i="1"/>
  <c r="R36" i="1"/>
  <c r="JK27" i="1"/>
  <c r="KU37" i="1"/>
  <c r="GW52" i="1"/>
  <c r="KX49" i="1"/>
  <c r="LE49" i="1" s="1"/>
  <c r="BH55" i="1"/>
  <c r="KW35" i="1"/>
  <c r="LD35" i="1" s="1"/>
  <c r="KX34" i="1"/>
  <c r="LE34" i="1" s="1"/>
  <c r="AR59" i="1"/>
  <c r="KW28" i="1"/>
  <c r="LD28" i="1" s="1"/>
  <c r="EO49" i="1"/>
  <c r="BH38" i="1"/>
  <c r="AR38" i="1"/>
  <c r="KX51" i="1"/>
  <c r="LE51" i="1" s="1"/>
  <c r="KW42" i="1"/>
  <c r="LD42" i="1" s="1"/>
  <c r="KU28" i="1"/>
  <c r="KW51" i="1"/>
  <c r="LD51" i="1" s="1"/>
  <c r="JK47" i="1"/>
  <c r="KW40" i="1"/>
  <c r="LD40" i="1" s="1"/>
  <c r="GW34" i="1"/>
  <c r="GW31" i="1"/>
  <c r="GW29" i="1"/>
  <c r="KW47" i="1"/>
  <c r="LD47" i="1" s="1"/>
  <c r="KW32" i="1"/>
  <c r="LD32" i="1" s="1"/>
  <c r="KX58" i="1"/>
  <c r="KX53" i="1"/>
  <c r="LE53" i="1" s="1"/>
  <c r="AR49" i="1"/>
  <c r="CG41" i="1"/>
  <c r="KW26" i="1"/>
  <c r="LD26" i="1" s="1"/>
  <c r="GW44" i="1"/>
  <c r="KW48" i="1"/>
  <c r="LD48" i="1" s="1"/>
  <c r="KX26" i="1"/>
  <c r="LE26" i="1" s="1"/>
  <c r="KX56" i="1"/>
  <c r="LE56" i="1" s="1"/>
  <c r="EO42" i="1"/>
  <c r="CG47" i="1"/>
  <c r="KW41" i="1"/>
  <c r="LD41" i="1" s="1"/>
  <c r="CG37" i="1"/>
  <c r="GW39" i="1"/>
  <c r="KW36" i="1"/>
  <c r="LD36" i="1" s="1"/>
  <c r="KW29" i="1"/>
  <c r="LD29" i="1" s="1"/>
  <c r="KU52" i="1"/>
  <c r="KW53" i="1"/>
  <c r="LD53" i="1" s="1"/>
  <c r="KX59" i="1"/>
  <c r="LE59" i="1" s="1"/>
  <c r="CG48" i="1"/>
  <c r="KU56" i="1"/>
  <c r="CG33" i="1"/>
  <c r="KW39" i="1"/>
  <c r="LD39" i="1" s="1"/>
  <c r="GW51" i="1"/>
  <c r="KX43" i="1"/>
  <c r="LE43" i="1" s="1"/>
  <c r="KX30" i="1"/>
  <c r="LE30" i="1" s="1"/>
  <c r="EO25" i="1"/>
  <c r="KX47" i="1"/>
  <c r="EO57" i="1"/>
  <c r="GW32" i="1"/>
  <c r="KU41" i="1"/>
  <c r="KU34" i="1"/>
  <c r="GW25" i="1"/>
  <c r="GW37" i="1"/>
  <c r="EO51" i="1"/>
  <c r="AR48" i="1"/>
  <c r="KW25" i="1"/>
  <c r="LD25" i="1" s="1"/>
  <c r="KW56" i="1"/>
  <c r="LD56" i="1" s="1"/>
  <c r="JK58" i="1"/>
  <c r="KW27" i="1"/>
  <c r="LD27" i="1" s="1"/>
  <c r="GW56" i="1"/>
  <c r="BH42" i="1"/>
  <c r="KX29" i="1"/>
  <c r="LE29" i="1" s="1"/>
  <c r="KX40" i="1"/>
  <c r="LE40" i="1" s="1"/>
  <c r="KX27" i="1"/>
  <c r="LE27" i="1" s="1"/>
  <c r="AR40" i="1"/>
  <c r="KW22" i="1"/>
  <c r="LD22" i="1" s="1"/>
  <c r="JK26" i="1"/>
  <c r="BH41" i="1"/>
  <c r="KX41" i="1"/>
  <c r="LE41" i="1" s="1"/>
  <c r="LD18" i="1"/>
  <c r="LE8" i="1"/>
  <c r="KY8" i="1"/>
  <c r="GW36" i="1"/>
  <c r="KX36" i="1"/>
  <c r="LE36" i="1" s="1"/>
  <c r="CG54" i="1"/>
  <c r="KX22" i="1"/>
  <c r="R22" i="1"/>
  <c r="GU24" i="1"/>
  <c r="EO24" i="1"/>
  <c r="EO46" i="1"/>
  <c r="KX46" i="1"/>
  <c r="AR32" i="1"/>
  <c r="KX32" i="1"/>
  <c r="LE32" i="1" s="1"/>
  <c r="KT55" i="1"/>
  <c r="KU55" i="1" s="1"/>
  <c r="KW37" i="1"/>
  <c r="LD37" i="1" s="1"/>
  <c r="JK37" i="1"/>
  <c r="R50" i="1"/>
  <c r="KX39" i="1"/>
  <c r="LE39" i="1" s="1"/>
  <c r="LE21" i="1"/>
  <c r="KY21" i="1"/>
  <c r="LD19" i="1"/>
  <c r="KY19" i="1"/>
  <c r="KU54" i="1"/>
  <c r="EO54" i="1"/>
  <c r="LE13" i="1"/>
  <c r="KY13" i="1"/>
  <c r="LD7" i="1"/>
  <c r="KX25" i="1"/>
  <c r="AR50" i="1"/>
  <c r="R52" i="1"/>
  <c r="KX52" i="1"/>
  <c r="KW43" i="1"/>
  <c r="LD43" i="1" s="1"/>
  <c r="R24" i="1"/>
  <c r="KW55" i="1"/>
  <c r="LD55" i="1" s="1"/>
  <c r="GU54" i="1"/>
  <c r="GW54" i="1" s="1"/>
  <c r="KW44" i="1"/>
  <c r="LD44" i="1" s="1"/>
  <c r="JI24" i="1"/>
  <c r="KY17" i="1"/>
  <c r="KW49" i="1"/>
  <c r="LD49" i="1" s="1"/>
  <c r="KX38" i="1"/>
  <c r="LE38" i="1" s="1"/>
  <c r="AR34" i="1"/>
  <c r="AR26" i="1"/>
  <c r="LE15" i="1"/>
  <c r="KY15" i="1"/>
  <c r="LE7" i="1"/>
  <c r="KY7" i="1"/>
  <c r="EO55" i="1"/>
  <c r="AR53" i="1"/>
  <c r="KX28" i="1"/>
  <c r="LE28" i="1" s="1"/>
  <c r="KX33" i="1"/>
  <c r="LE33" i="1" s="1"/>
  <c r="AR24" i="1"/>
  <c r="BH24" i="1"/>
  <c r="JJ24" i="1"/>
  <c r="KY16" i="1"/>
  <c r="LE16" i="1"/>
  <c r="KW33" i="1"/>
  <c r="LD33" i="1" s="1"/>
  <c r="KW52" i="1"/>
  <c r="LD52" i="1" s="1"/>
  <c r="R55" i="1"/>
  <c r="AR54" i="1"/>
  <c r="KX54" i="1"/>
  <c r="BH53" i="1"/>
  <c r="CG50" i="1"/>
  <c r="KU50" i="1"/>
  <c r="KX42" i="1"/>
  <c r="LE42" i="1" s="1"/>
  <c r="KY18" i="1"/>
  <c r="LE18" i="1"/>
  <c r="KY11" i="1"/>
  <c r="LE11" i="1"/>
  <c r="JK54" i="1"/>
  <c r="EO50" i="1"/>
  <c r="KY14" i="1"/>
  <c r="LE14" i="1"/>
  <c r="KX44" i="1"/>
  <c r="LE44" i="1" s="1"/>
  <c r="LE12" i="1"/>
  <c r="KY12" i="1"/>
  <c r="LE5" i="1"/>
  <c r="KY5" i="1"/>
  <c r="CG53" i="1"/>
  <c r="KW38" i="1"/>
  <c r="LD38" i="1" s="1"/>
  <c r="LE20" i="1"/>
  <c r="KY20" i="1"/>
  <c r="KY10" i="1"/>
  <c r="LE10" i="1"/>
  <c r="KX31" i="1"/>
  <c r="LE31" i="1" s="1"/>
  <c r="JI63" i="1" l="1"/>
  <c r="GW50" i="1"/>
  <c r="AY63" i="1"/>
  <c r="BG63" i="1"/>
  <c r="BH63" i="1" s="1"/>
  <c r="GU63" i="1"/>
  <c r="JK50" i="1"/>
  <c r="EO61" i="1"/>
  <c r="BH60" i="1"/>
  <c r="GW61" i="1"/>
  <c r="KS63" i="1"/>
  <c r="EO62" i="1"/>
  <c r="GW62" i="1"/>
  <c r="KX61" i="1"/>
  <c r="LE61" i="1" s="1"/>
  <c r="KY35" i="1"/>
  <c r="GV63" i="1"/>
  <c r="JJ63" i="1"/>
  <c r="JJ60" i="1"/>
  <c r="JK60" i="1" s="1"/>
  <c r="KT63" i="1"/>
  <c r="KU63" i="1" s="1"/>
  <c r="EM63" i="1"/>
  <c r="EM60" i="1"/>
  <c r="AR61" i="1"/>
  <c r="R60" i="1"/>
  <c r="KX62" i="1"/>
  <c r="KW62" i="1"/>
  <c r="LD62" i="1" s="1"/>
  <c r="CG60" i="1"/>
  <c r="KU24" i="1"/>
  <c r="AR60" i="1"/>
  <c r="BO63" i="1"/>
  <c r="CE63" i="1"/>
  <c r="Q63" i="1"/>
  <c r="GU60" i="1"/>
  <c r="AA63" i="1"/>
  <c r="AP63" i="1"/>
  <c r="AB63" i="1"/>
  <c r="AQ63" i="1"/>
  <c r="KW61" i="1"/>
  <c r="LD61" i="1" s="1"/>
  <c r="EN60" i="1"/>
  <c r="CO63" i="1"/>
  <c r="EN63" i="1" s="1"/>
  <c r="BP63" i="1"/>
  <c r="CF63" i="1"/>
  <c r="KT60" i="1"/>
  <c r="KU60" i="1" s="1"/>
  <c r="KX50" i="1"/>
  <c r="LE50" i="1" s="1"/>
  <c r="KY58" i="1"/>
  <c r="KX37" i="1"/>
  <c r="LE37" i="1" s="1"/>
  <c r="KY47" i="1"/>
  <c r="KY30" i="1"/>
  <c r="KX24" i="1"/>
  <c r="LE24" i="1" s="1"/>
  <c r="KW50" i="1"/>
  <c r="KY57" i="1"/>
  <c r="LE47" i="1"/>
  <c r="KY59" i="1"/>
  <c r="KY34" i="1"/>
  <c r="KY40" i="1"/>
  <c r="KY26" i="1"/>
  <c r="KW24" i="1"/>
  <c r="KY56" i="1"/>
  <c r="KY53" i="1"/>
  <c r="GW24" i="1"/>
  <c r="KY48" i="1"/>
  <c r="LE58" i="1"/>
  <c r="KY51" i="1"/>
  <c r="KY29" i="1"/>
  <c r="KY27" i="1"/>
  <c r="KX55" i="1"/>
  <c r="LE55" i="1" s="1"/>
  <c r="KY36" i="1"/>
  <c r="KY44" i="1"/>
  <c r="LE54" i="1"/>
  <c r="KY43" i="1"/>
  <c r="JK24" i="1"/>
  <c r="KY38" i="1"/>
  <c r="KY49" i="1"/>
  <c r="LE22" i="1"/>
  <c r="KY22" i="1"/>
  <c r="KY41" i="1"/>
  <c r="KY52" i="1"/>
  <c r="LE52" i="1"/>
  <c r="KY42" i="1"/>
  <c r="LE25" i="1"/>
  <c r="KY25" i="1"/>
  <c r="KY39" i="1"/>
  <c r="LE46" i="1"/>
  <c r="KY46" i="1"/>
  <c r="KY31" i="1"/>
  <c r="KY33" i="1"/>
  <c r="KY28" i="1"/>
  <c r="KW54" i="1"/>
  <c r="KY54" i="1" s="1"/>
  <c r="KY32" i="1"/>
  <c r="JK63" i="1" l="1"/>
  <c r="GW63" i="1"/>
  <c r="KW63" i="1"/>
  <c r="LD63" i="1" s="1"/>
  <c r="KW60" i="1"/>
  <c r="LD60" i="1" s="1"/>
  <c r="EO60" i="1"/>
  <c r="AR63" i="1"/>
  <c r="EO63" i="1"/>
  <c r="KY61" i="1"/>
  <c r="CG63" i="1"/>
  <c r="LE62" i="1"/>
  <c r="KY62" i="1"/>
  <c r="KX60" i="1"/>
  <c r="GW60" i="1"/>
  <c r="KY50" i="1"/>
  <c r="R63" i="1"/>
  <c r="KX63" i="1"/>
  <c r="LD50" i="1"/>
  <c r="KY37" i="1"/>
  <c r="KY24" i="1"/>
  <c r="LD24" i="1"/>
  <c r="KY55" i="1"/>
  <c r="LD54" i="1"/>
  <c r="KY63" i="1" l="1"/>
  <c r="LE63" i="1"/>
  <c r="KY60" i="1"/>
  <c r="LE60" i="1"/>
</calcChain>
</file>

<file path=xl/sharedStrings.xml><?xml version="1.0" encoding="utf-8"?>
<sst xmlns="http://schemas.openxmlformats.org/spreadsheetml/2006/main" count="804" uniqueCount="418">
  <si>
    <t>Gruppe</t>
  </si>
  <si>
    <t>I.</t>
  </si>
  <si>
    <t>I. 1.</t>
  </si>
  <si>
    <t>I.2.</t>
  </si>
  <si>
    <t>I.3.</t>
  </si>
  <si>
    <t>II.</t>
  </si>
  <si>
    <t>II.1</t>
  </si>
  <si>
    <t>II.2</t>
  </si>
  <si>
    <t>II. 3.</t>
  </si>
  <si>
    <t>II.4.</t>
  </si>
  <si>
    <t>III.</t>
  </si>
  <si>
    <t>III. 1.</t>
  </si>
  <si>
    <t>III. 2.</t>
  </si>
  <si>
    <t xml:space="preserve">III. 3. </t>
  </si>
  <si>
    <t>IV.</t>
  </si>
  <si>
    <t>IV. 1.</t>
  </si>
  <si>
    <t>IV. 2.</t>
  </si>
  <si>
    <t>IV. 3.</t>
  </si>
  <si>
    <t xml:space="preserve">IV. 4.    </t>
  </si>
  <si>
    <t>V.</t>
  </si>
  <si>
    <t>V.1</t>
  </si>
  <si>
    <t xml:space="preserve">V. 2. </t>
  </si>
  <si>
    <t>V. 3.</t>
  </si>
  <si>
    <t>VI.</t>
  </si>
  <si>
    <t>VI. 1.</t>
  </si>
  <si>
    <t xml:space="preserve">VI. 2. </t>
  </si>
  <si>
    <t xml:space="preserve">VI. 3. </t>
  </si>
  <si>
    <t>VI. 4.</t>
  </si>
  <si>
    <t>VI. 5.</t>
  </si>
  <si>
    <t>VI. 6.</t>
  </si>
  <si>
    <t xml:space="preserve">VII. </t>
  </si>
  <si>
    <t>VII. 1.</t>
  </si>
  <si>
    <t>VII.2.</t>
  </si>
  <si>
    <t>VII. 3.</t>
  </si>
  <si>
    <t>VII. 4.</t>
  </si>
  <si>
    <t>VII. 5.</t>
  </si>
  <si>
    <t>VIII.</t>
  </si>
  <si>
    <t>VIII. 1.</t>
  </si>
  <si>
    <t>VIII. 2.</t>
  </si>
  <si>
    <t>Subgruppe</t>
  </si>
  <si>
    <t>Gép- és műszeripar</t>
  </si>
  <si>
    <t>Motoren, Maschinen</t>
  </si>
  <si>
    <t>Instrumente</t>
  </si>
  <si>
    <t>Transportmitteln</t>
  </si>
  <si>
    <t>Wagner</t>
  </si>
  <si>
    <t>I. Gruppe</t>
  </si>
  <si>
    <t>Vas- és fémipar</t>
  </si>
  <si>
    <t>Eisen und Eisenwaren</t>
  </si>
  <si>
    <t>Schmiede</t>
  </si>
  <si>
    <t>Sclosser</t>
  </si>
  <si>
    <t>Metallwaren</t>
  </si>
  <si>
    <t>Edler Metallwaren</t>
  </si>
  <si>
    <t>Legur-Waren</t>
  </si>
  <si>
    <t>Spengler, Klempner</t>
  </si>
  <si>
    <t>II. Gruppe</t>
  </si>
  <si>
    <t>Kő-, föld-, agyag- és üvegipar</t>
  </si>
  <si>
    <t>Thonwaaren</t>
  </si>
  <si>
    <t>Hafner und Töpfer</t>
  </si>
  <si>
    <t>Glas und Glaswaaren</t>
  </si>
  <si>
    <t>Sonstige</t>
  </si>
  <si>
    <t>III. Gruppe</t>
  </si>
  <si>
    <t>Vegyipar</t>
  </si>
  <si>
    <t>Chemikalien</t>
  </si>
  <si>
    <t>Apotheker</t>
  </si>
  <si>
    <t>Fettwaaren, Leucht- u. Zündstoffen</t>
  </si>
  <si>
    <t>Seifensieder</t>
  </si>
  <si>
    <t>Gasbeleutung</t>
  </si>
  <si>
    <t>Farbwaaren</t>
  </si>
  <si>
    <t>Sonstige chem. Stoffe</t>
  </si>
  <si>
    <t>IV. Gruppe</t>
  </si>
  <si>
    <t>Élelmiszeripar</t>
  </si>
  <si>
    <t>Animalische Nahrungsstoffe</t>
  </si>
  <si>
    <t>Fleischselcher</t>
  </si>
  <si>
    <t>Vegetabilische Nahrungsstoffe</t>
  </si>
  <si>
    <t>Gesrten-Mahler</t>
  </si>
  <si>
    <t>Müller</t>
  </si>
  <si>
    <t>Dampf- u. Kunstmühlen</t>
  </si>
  <si>
    <t>Bäcker</t>
  </si>
  <si>
    <t>Mehlspeismacher</t>
  </si>
  <si>
    <t>Zucker-Fabriken</t>
  </si>
  <si>
    <t>Zuckersieder</t>
  </si>
  <si>
    <t>Kaffee-Surrogat</t>
  </si>
  <si>
    <t>Chocolade-Fabriken</t>
  </si>
  <si>
    <t>Zuckerbäcker</t>
  </si>
  <si>
    <t>Gewürzzelter</t>
  </si>
  <si>
    <t>Mandolettibäcker</t>
  </si>
  <si>
    <t>Hohlhippenbäcker</t>
  </si>
  <si>
    <t>Kuchenbäcker</t>
  </si>
  <si>
    <t>Lebzelter</t>
  </si>
  <si>
    <t>Getränke</t>
  </si>
  <si>
    <t>Bierbrauer</t>
  </si>
  <si>
    <t>Malz-Erzeuger</t>
  </si>
  <si>
    <t>Champagner Wein</t>
  </si>
  <si>
    <t>Spiritusfabriken</t>
  </si>
  <si>
    <t>Branntwein</t>
  </si>
  <si>
    <t>Essig-Sieder</t>
  </si>
  <si>
    <t>V. Gruppe</t>
  </si>
  <si>
    <t>Textilipar</t>
  </si>
  <si>
    <t>Seide</t>
  </si>
  <si>
    <t>Schafwolle</t>
  </si>
  <si>
    <t>Tuchmacher</t>
  </si>
  <si>
    <t>Flachs, Hanf</t>
  </si>
  <si>
    <t>Seiler</t>
  </si>
  <si>
    <t>Leinen-Weber</t>
  </si>
  <si>
    <t>Baumwolle</t>
  </si>
  <si>
    <t>Baumwollweber</t>
  </si>
  <si>
    <t>Färber</t>
  </si>
  <si>
    <t>Erzeuger</t>
  </si>
  <si>
    <t>Strumpfwirker</t>
  </si>
  <si>
    <t>Schnürmacher</t>
  </si>
  <si>
    <t>Tapezirer</t>
  </si>
  <si>
    <t>Verfertiger</t>
  </si>
  <si>
    <t>Schirmmacher</t>
  </si>
  <si>
    <t>Weissnätherinnen</t>
  </si>
  <si>
    <t>Schneider</t>
  </si>
  <si>
    <t>Gubamacher</t>
  </si>
  <si>
    <t>Modistinen</t>
  </si>
  <si>
    <t>Kappenmacher</t>
  </si>
  <si>
    <t>VI. Gruppe</t>
  </si>
  <si>
    <t>Bőr, szörme, fa, papír, szalma, kaucsuk</t>
  </si>
  <si>
    <t>Leder</t>
  </si>
  <si>
    <t>Lederer, Rothgärber</t>
  </si>
  <si>
    <t>Weissgärber</t>
  </si>
  <si>
    <t>Schuhmacher</t>
  </si>
  <si>
    <t>Czismenmacher</t>
  </si>
  <si>
    <t>Riemer</t>
  </si>
  <si>
    <t>Sattler</t>
  </si>
  <si>
    <t>Handschuhmacher</t>
  </si>
  <si>
    <t>Pelzwerk</t>
  </si>
  <si>
    <t>Kürschner</t>
  </si>
  <si>
    <t>Hutmacher</t>
  </si>
  <si>
    <t>Bürstenbinder</t>
  </si>
  <si>
    <t>Friseure</t>
  </si>
  <si>
    <t>Papier</t>
  </si>
  <si>
    <t>Buchbinder</t>
  </si>
  <si>
    <t>Stroh, Kautschuk</t>
  </si>
  <si>
    <t>Holz</t>
  </si>
  <si>
    <t>Brettersägen</t>
  </si>
  <si>
    <t>Tischler</t>
  </si>
  <si>
    <t>Binder</t>
  </si>
  <si>
    <t>Drechsler</t>
  </si>
  <si>
    <t>Kammmacher</t>
  </si>
  <si>
    <t>Korbmacher</t>
  </si>
  <si>
    <t>VII. Gruppe</t>
  </si>
  <si>
    <t>Építő- és műipar</t>
  </si>
  <si>
    <t>Baugewerbe</t>
  </si>
  <si>
    <t>Architekten</t>
  </si>
  <si>
    <t>Baumeister</t>
  </si>
  <si>
    <t>Maurermeister</t>
  </si>
  <si>
    <t>Zimmermeister</t>
  </si>
  <si>
    <t>Ziegeldecker</t>
  </si>
  <si>
    <t>Pflasterer</t>
  </si>
  <si>
    <t>Zimmermaler</t>
  </si>
  <si>
    <t>Anstreicher</t>
  </si>
  <si>
    <t>Kunstgewerbe</t>
  </si>
  <si>
    <t>Buchdrucker</t>
  </si>
  <si>
    <t>Graveure</t>
  </si>
  <si>
    <t>VIII. Gruppe</t>
  </si>
  <si>
    <t>Industrial-Gewerbe</t>
  </si>
  <si>
    <t>Ezer lakosra jutó</t>
  </si>
  <si>
    <t>Szakma</t>
  </si>
  <si>
    <t>Gépgyártás</t>
  </si>
  <si>
    <t>Műszer, hangszer</t>
  </si>
  <si>
    <t>Közlekedési eszközök</t>
  </si>
  <si>
    <t>Közlekedési eszk., egyéb</t>
  </si>
  <si>
    <t>Kocsigyártó, bognár</t>
  </si>
  <si>
    <t>Közlekedési eszk.</t>
  </si>
  <si>
    <t>összesen</t>
  </si>
  <si>
    <t>Vas és vasáru</t>
  </si>
  <si>
    <t>Vas és vasáru, egyéb</t>
  </si>
  <si>
    <t>Kovácsok</t>
  </si>
  <si>
    <t>Lakatosok</t>
  </si>
  <si>
    <t>Fémáru</t>
  </si>
  <si>
    <t>Nemesfém áruk</t>
  </si>
  <si>
    <t>Egyéb fémáruk</t>
  </si>
  <si>
    <t>Egyéb fémáruk, egyéb</t>
  </si>
  <si>
    <t>Bádogos</t>
  </si>
  <si>
    <t>Agyagáruk</t>
  </si>
  <si>
    <t>Agyagáruk, egyéb</t>
  </si>
  <si>
    <t>Fazekasok</t>
  </si>
  <si>
    <t>Üveg, üvegáruk</t>
  </si>
  <si>
    <t>Egyéb kő- és földipar</t>
  </si>
  <si>
    <t>Vegyi anyagok</t>
  </si>
  <si>
    <t>Vegyi anyagok, egyéb</t>
  </si>
  <si>
    <t>Gyógyszerészak</t>
  </si>
  <si>
    <t>Zsiradékok, világítás</t>
  </si>
  <si>
    <t>Zsiradékok, világítás, egyéb</t>
  </si>
  <si>
    <t>Szappanfőzők</t>
  </si>
  <si>
    <t>Gázvilágítás</t>
  </si>
  <si>
    <t>Festékáruk</t>
  </si>
  <si>
    <t>Egyéb vegyi anyagok</t>
  </si>
  <si>
    <t>Állati élelmiszerek</t>
  </si>
  <si>
    <t>Állati élelmiszerek, egyéb</t>
  </si>
  <si>
    <t>Hentes, mészáros</t>
  </si>
  <si>
    <t>Növényi élelmiszerek</t>
  </si>
  <si>
    <t>Árpa-darálók</t>
  </si>
  <si>
    <t>Molnárok</t>
  </si>
  <si>
    <t>Gőz- és műmalmok</t>
  </si>
  <si>
    <t>Pékek</t>
  </si>
  <si>
    <t>Tésztakészítők</t>
  </si>
  <si>
    <t>Cukorgyárak</t>
  </si>
  <si>
    <t>Cukorfőzők</t>
  </si>
  <si>
    <t>Pótkávé</t>
  </si>
  <si>
    <t>Csokoládégyárak</t>
  </si>
  <si>
    <t>Cukrászok</t>
  </si>
  <si>
    <t>Mézeskalácsos</t>
  </si>
  <si>
    <t>Italok</t>
  </si>
  <si>
    <t>Sörfőzők</t>
  </si>
  <si>
    <t>Pezsgő</t>
  </si>
  <si>
    <t>Spirituszgyárak</t>
  </si>
  <si>
    <t>Szeszfőzők</t>
  </si>
  <si>
    <t>Ecetgyárak</t>
  </si>
  <si>
    <t>Selyemipar</t>
  </si>
  <si>
    <t>Gyapjúipar</t>
  </si>
  <si>
    <t>Gyapjúipar, egyéb</t>
  </si>
  <si>
    <t>Posztós</t>
  </si>
  <si>
    <t>Len- és kenderipar</t>
  </si>
  <si>
    <t>Len- és kenderipar, egyéb</t>
  </si>
  <si>
    <t>Kötélverő</t>
  </si>
  <si>
    <t>Takács</t>
  </si>
  <si>
    <t>Pamutipar</t>
  </si>
  <si>
    <t>Pamutipar, egyéb</t>
  </si>
  <si>
    <t>Festő</t>
  </si>
  <si>
    <t>Textiláruk</t>
  </si>
  <si>
    <t>Textilárukészítők, egyéb</t>
  </si>
  <si>
    <t>Harisnyakötő</t>
  </si>
  <si>
    <t>Textilfeldolgozó</t>
  </si>
  <si>
    <t>Textilfeldolgozó, egyéb</t>
  </si>
  <si>
    <t>Ernyőkészítő</t>
  </si>
  <si>
    <t>Fehérneművarrónő</t>
  </si>
  <si>
    <t>Szabó</t>
  </si>
  <si>
    <t>Gubás</t>
  </si>
  <si>
    <t>Divatáru</t>
  </si>
  <si>
    <t>Bőr és bőráru</t>
  </si>
  <si>
    <t>Bőr és bőráru, egyéb</t>
  </si>
  <si>
    <t>Tímár</t>
  </si>
  <si>
    <t>Cipész</t>
  </si>
  <si>
    <t>Csimadia</t>
  </si>
  <si>
    <t>Szíjgyártó</t>
  </si>
  <si>
    <t>Nyerges</t>
  </si>
  <si>
    <t>Keztyűs</t>
  </si>
  <si>
    <t>Szörmeáru</t>
  </si>
  <si>
    <t>Szörmeáru, egyéb</t>
  </si>
  <si>
    <t>Szűcs</t>
  </si>
  <si>
    <t>Kalapos</t>
  </si>
  <si>
    <t>Kefekötő</t>
  </si>
  <si>
    <t>Fodrász, paróka</t>
  </si>
  <si>
    <t>Papiripar</t>
  </si>
  <si>
    <t>Papiripar, egyéb</t>
  </si>
  <si>
    <t>Könyvkötő</t>
  </si>
  <si>
    <t>Szalma, kaucsuk</t>
  </si>
  <si>
    <t>Faipar</t>
  </si>
  <si>
    <t>Faipar, általában</t>
  </si>
  <si>
    <t>Fűrész</t>
  </si>
  <si>
    <t>Asztalos</t>
  </si>
  <si>
    <t>Kádár</t>
  </si>
  <si>
    <t>Esztergályos</t>
  </si>
  <si>
    <t>Fésűs</t>
  </si>
  <si>
    <t>Kosaras</t>
  </si>
  <si>
    <t>Építőipar</t>
  </si>
  <si>
    <t>Építőipar, általában</t>
  </si>
  <si>
    <t>Építész, ép. váll.</t>
  </si>
  <si>
    <t>Építőmester</t>
  </si>
  <si>
    <t>Kőműves</t>
  </si>
  <si>
    <t>Ács</t>
  </si>
  <si>
    <t>Tetőfedő</t>
  </si>
  <si>
    <t>Aszfaltozó</t>
  </si>
  <si>
    <t>Szobafestő</t>
  </si>
  <si>
    <t>Mázoló</t>
  </si>
  <si>
    <t>Műipar</t>
  </si>
  <si>
    <t>Műipar, egyéb</t>
  </si>
  <si>
    <t>Nyomdász</t>
  </si>
  <si>
    <t>Réz-, fametszők</t>
  </si>
  <si>
    <t>Lakosság, 1857</t>
  </si>
  <si>
    <t>adózó</t>
  </si>
  <si>
    <t>adóösszeg</t>
  </si>
  <si>
    <t>Adófizetők száma</t>
  </si>
  <si>
    <t>Adó, forint</t>
  </si>
  <si>
    <t>Anzahl</t>
  </si>
  <si>
    <t>Gulden</t>
  </si>
  <si>
    <t>Forint/adózó</t>
  </si>
  <si>
    <t>Monarchia</t>
  </si>
  <si>
    <t>Bécs város</t>
  </si>
  <si>
    <t>A. Ausztria</t>
  </si>
  <si>
    <t>F. Ausztria</t>
  </si>
  <si>
    <t>Salzburg</t>
  </si>
  <si>
    <t>Steiermark</t>
  </si>
  <si>
    <t>Kärnthen</t>
  </si>
  <si>
    <t>Krain</t>
  </si>
  <si>
    <t>Küstenland</t>
  </si>
  <si>
    <t>Tirol</t>
  </si>
  <si>
    <t>Böhmen</t>
  </si>
  <si>
    <t>Mähren</t>
  </si>
  <si>
    <t>Schlesien</t>
  </si>
  <si>
    <t>Galicia</t>
  </si>
  <si>
    <t>Bukowina</t>
  </si>
  <si>
    <t>Dalmácia</t>
  </si>
  <si>
    <t>Magyaro.</t>
  </si>
  <si>
    <t>Horváto.</t>
  </si>
  <si>
    <t>Erdély</t>
  </si>
  <si>
    <t>Italia</t>
  </si>
  <si>
    <t>Ausztria</t>
  </si>
  <si>
    <t>Pest</t>
  </si>
  <si>
    <t>Ofen</t>
  </si>
  <si>
    <t>Buda</t>
  </si>
  <si>
    <t>Erlau</t>
  </si>
  <si>
    <t>Eger</t>
  </si>
  <si>
    <t>Szolnok</t>
  </si>
  <si>
    <t>Szeged</t>
  </si>
  <si>
    <t>Grosswardein</t>
  </si>
  <si>
    <t>Nagyvárad</t>
  </si>
  <si>
    <t>Debrecen</t>
  </si>
  <si>
    <t>Szatmár</t>
  </si>
  <si>
    <t>Arad</t>
  </si>
  <si>
    <t>Oedenburg</t>
  </si>
  <si>
    <t>Sopron</t>
  </si>
  <si>
    <t>Raab</t>
  </si>
  <si>
    <t>Győr</t>
  </si>
  <si>
    <t>Kanizsa</t>
  </si>
  <si>
    <t>Nagykanizsa</t>
  </si>
  <si>
    <t>Fünfkirchen</t>
  </si>
  <si>
    <t>Pécs</t>
  </si>
  <si>
    <t>Pressburg</t>
  </si>
  <si>
    <t>Pozsony</t>
  </si>
  <si>
    <t>Neutra</t>
  </si>
  <si>
    <t>Nyitra</t>
  </si>
  <si>
    <t>Balassagy.</t>
  </si>
  <si>
    <t>Balassagyarmat</t>
  </si>
  <si>
    <t>Rosenberg</t>
  </si>
  <si>
    <t>Rózsahegy</t>
  </si>
  <si>
    <t>Kassa</t>
  </si>
  <si>
    <t>Eperjes</t>
  </si>
  <si>
    <t>Ungvár</t>
  </si>
  <si>
    <t>Munkács</t>
  </si>
  <si>
    <t>Lugos</t>
  </si>
  <si>
    <t>Becskerek</t>
  </si>
  <si>
    <t>Nagybecskerek</t>
  </si>
  <si>
    <t>Zombor</t>
  </si>
  <si>
    <t>Neusatz</t>
  </si>
  <si>
    <t>Ujvidék</t>
  </si>
  <si>
    <t>Agram</t>
  </si>
  <si>
    <t>Zágráb</t>
  </si>
  <si>
    <t>Warasd</t>
  </si>
  <si>
    <t>Varasd</t>
  </si>
  <si>
    <t>Fiume</t>
  </si>
  <si>
    <t>Eszék</t>
  </si>
  <si>
    <t>Hermannstadt</t>
  </si>
  <si>
    <t>Nagyszeben</t>
  </si>
  <si>
    <t>Kronstadt</t>
  </si>
  <si>
    <t>Brassó</t>
  </si>
  <si>
    <t>Marosvásárh</t>
  </si>
  <si>
    <t>Marosvásárhely</t>
  </si>
  <si>
    <t>Bistritz</t>
  </si>
  <si>
    <t>Beszterce</t>
  </si>
  <si>
    <t>Klausenbg</t>
  </si>
  <si>
    <t>Kolozsvár</t>
  </si>
  <si>
    <t>Broos</t>
  </si>
  <si>
    <t>Szászváros</t>
  </si>
  <si>
    <t>M. korona</t>
  </si>
  <si>
    <t>C1</t>
  </si>
  <si>
    <t>B1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</si>
  <si>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</si>
  <si>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</si>
  <si>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</si>
  <si>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</si>
  <si>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</si>
  <si>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</si>
  <si>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</si>
  <si>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</si>
  <si>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</si>
  <si>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</si>
  <si>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C18</t>
  </si>
  <si>
    <t>C14</t>
  </si>
  <si>
    <t>C15</t>
  </si>
  <si>
    <t>M0</t>
  </si>
  <si>
    <t>M10</t>
  </si>
  <si>
    <t>M7</t>
  </si>
  <si>
    <t>C17</t>
  </si>
  <si>
    <t>C00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</si>
  <si>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</si>
  <si>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</si>
  <si>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</si>
  <si>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</si>
  <si>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</si>
  <si>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</si>
  <si>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</si>
  <si>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</si>
  <si>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</si>
  <si>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</si>
  <si>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</si>
  <si>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</si>
  <si>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</si>
  <si>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</si>
  <si>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</si>
  <si>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</si>
  <si>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</si>
  <si>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</si>
  <si>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</si>
  <si>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</si>
  <si>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</si>
  <si>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X1</t>
  </si>
  <si>
    <t>X2</t>
  </si>
  <si>
    <t>X3</t>
  </si>
  <si>
    <t>X4</t>
  </si>
  <si>
    <t>X5</t>
  </si>
  <si>
    <t>X6</t>
  </si>
  <si>
    <t>A30</t>
  </si>
  <si>
    <t>A25</t>
  </si>
  <si>
    <t>A26</t>
  </si>
  <si>
    <t>A27</t>
  </si>
  <si>
    <t>A28</t>
  </si>
  <si>
    <t>A29</t>
  </si>
  <si>
    <t>A24</t>
  </si>
  <si>
    <t>A23</t>
  </si>
  <si>
    <t>M00</t>
  </si>
  <si>
    <t>A22</t>
  </si>
  <si>
    <t>Temesvár együtt</t>
  </si>
  <si>
    <t>Temesvár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</si>
</sst>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0_)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</font>
    <font>
      <i/>
      <sz val="12"/>
      <name val="Times New Roman CE"/>
      <family val="1"/>
    </font>
    <font>
      <i/>
      <sz val="12"/>
      <name val="Times New Roman CE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u/>
      <sz val="12"/>
      <name val="Times New Roman CE"/>
      <charset val="238"/>
    </font>
    <font>
      <i/>
      <u/>
      <sz val="12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Protection="1"/>
    <xf numFmtId="164" fontId="4" fillId="0" borderId="0" xfId="0" applyNumberFormat="1" applyFont="1" applyProtection="1"/>
    <xf numFmtId="165" fontId="0" fillId="0" borderId="0" xfId="0" applyNumberFormat="1" applyProtection="1"/>
    <xf numFmtId="165" fontId="1" fillId="0" borderId="0" xfId="0" applyNumberFormat="1" applyFont="1" applyProtection="1"/>
    <xf numFmtId="165" fontId="3" fillId="0" borderId="0" xfId="0" applyNumberFormat="1" applyFont="1" applyProtection="1"/>
    <xf numFmtId="0" fontId="4" fillId="0" borderId="0" xfId="0" applyFont="1" applyAlignment="1">
      <alignment horizontal="center"/>
    </xf>
    <xf numFmtId="165" fontId="2" fillId="0" borderId="0" xfId="0" applyNumberFormat="1" applyFont="1" applyProtection="1"/>
    <xf numFmtId="0" fontId="4" fillId="0" borderId="0" xfId="0" applyFont="1" applyAlignment="1">
      <alignment horizontal="left"/>
    </xf>
    <xf numFmtId="164" fontId="0" fillId="0" borderId="0" xfId="0" applyNumberFormat="1" applyProtection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63"/>
  <sheetViews>
    <sheetView tabSelected="1" topLeftCell="KU1" workbookViewId="0">
      <pane ySplit="1875" topLeftCell="A37" activePane="bottomLeft"/>
      <selection activeCell="LG1" sqref="LG1:LO1048576"/>
      <selection pane="bottomLeft" activeCell="KU44" sqref="KU44:KU46"/>
    </sheetView>
  </sheetViews>
  <sheetFormatPr defaultRowHeight="15" x14ac:dyDescent="0.25"/>
  <cols>
    <col min="1" max="1" width="17.7109375" style="22" customWidth="1"/>
    <col min="2" max="2" width="16.5703125" style="25" bestFit="1" customWidth="1"/>
  </cols>
  <sheetData>
    <row r="1" spans="1:317" ht="15.75" x14ac:dyDescent="0.25">
      <c r="B1" s="24" t="s">
        <v>0</v>
      </c>
      <c r="C1" s="1"/>
      <c r="D1" s="1" t="s">
        <v>1</v>
      </c>
      <c r="E1" s="2" t="s">
        <v>2</v>
      </c>
      <c r="F1" s="2"/>
      <c r="G1" s="2" t="s">
        <v>3</v>
      </c>
      <c r="H1" s="2"/>
      <c r="I1" s="3" t="s">
        <v>4</v>
      </c>
      <c r="K1" s="2"/>
      <c r="L1" s="2"/>
      <c r="N1" s="3" t="s">
        <v>4</v>
      </c>
      <c r="O1" s="3"/>
      <c r="S1" s="4" t="s">
        <v>5</v>
      </c>
      <c r="T1" s="3" t="s">
        <v>6</v>
      </c>
      <c r="AA1" s="3" t="s">
        <v>6</v>
      </c>
      <c r="AB1" s="3"/>
      <c r="AD1" s="2" t="s">
        <v>7</v>
      </c>
      <c r="AF1" s="2" t="s">
        <v>8</v>
      </c>
      <c r="AH1" s="3" t="s">
        <v>9</v>
      </c>
      <c r="AM1" s="3" t="s">
        <v>9</v>
      </c>
      <c r="AN1" s="3"/>
      <c r="AP1" s="5"/>
      <c r="AQ1" s="5"/>
      <c r="AR1" s="6"/>
      <c r="AS1" s="4" t="s">
        <v>10</v>
      </c>
      <c r="AT1" s="3" t="s">
        <v>11</v>
      </c>
      <c r="AU1" s="7"/>
      <c r="AY1" s="3" t="s">
        <v>11</v>
      </c>
      <c r="AZ1" s="3"/>
      <c r="BB1" s="3" t="s">
        <v>12</v>
      </c>
      <c r="BD1" s="3" t="s">
        <v>13</v>
      </c>
      <c r="BF1" s="5"/>
      <c r="BG1" s="5"/>
      <c r="BH1" s="5"/>
      <c r="BI1" s="5" t="s">
        <v>14</v>
      </c>
      <c r="BJ1" s="2" t="s">
        <v>15</v>
      </c>
      <c r="BO1" s="3" t="s">
        <v>15</v>
      </c>
      <c r="BP1" s="3"/>
      <c r="BQ1" s="2" t="s">
        <v>16</v>
      </c>
      <c r="BX1" s="3" t="s">
        <v>16</v>
      </c>
      <c r="BY1" s="3"/>
      <c r="CA1" s="2" t="s">
        <v>17</v>
      </c>
      <c r="CB1" s="2"/>
      <c r="CC1" s="2" t="s">
        <v>18</v>
      </c>
      <c r="CE1" s="5"/>
      <c r="CF1" s="5"/>
      <c r="CG1" s="5"/>
      <c r="CH1" s="5" t="s">
        <v>19</v>
      </c>
      <c r="CI1" s="2" t="s">
        <v>20</v>
      </c>
      <c r="CN1" s="3" t="s">
        <v>20</v>
      </c>
      <c r="CO1" s="3"/>
      <c r="CQ1" t="s">
        <v>21</v>
      </c>
      <c r="DV1" s="3" t="s">
        <v>21</v>
      </c>
      <c r="DW1" s="3"/>
      <c r="DX1" t="s">
        <v>22</v>
      </c>
      <c r="EK1" s="3" t="s">
        <v>22</v>
      </c>
      <c r="EL1" s="3"/>
      <c r="EP1" t="s">
        <v>23</v>
      </c>
      <c r="ER1" s="2" t="s">
        <v>24</v>
      </c>
      <c r="ET1" s="3" t="s">
        <v>25</v>
      </c>
      <c r="EY1" s="3" t="s">
        <v>25</v>
      </c>
      <c r="EZ1" s="3"/>
      <c r="FA1" s="3" t="s">
        <v>26</v>
      </c>
      <c r="FH1" s="3" t="s">
        <v>26</v>
      </c>
      <c r="FI1" s="3"/>
      <c r="FJ1" t="s">
        <v>27</v>
      </c>
      <c r="FQ1" s="3" t="s">
        <v>27</v>
      </c>
      <c r="FR1" s="3"/>
      <c r="FS1" s="3" t="s">
        <v>28</v>
      </c>
      <c r="GB1" s="3" t="s">
        <v>28</v>
      </c>
      <c r="GC1" s="3"/>
      <c r="GD1" s="3" t="s">
        <v>29</v>
      </c>
      <c r="GS1" s="3" t="s">
        <v>29</v>
      </c>
      <c r="GT1" s="3"/>
      <c r="GU1" s="5"/>
      <c r="GV1" s="5"/>
      <c r="GW1" s="5"/>
      <c r="GX1" s="4" t="s">
        <v>30</v>
      </c>
      <c r="GY1" s="3" t="s">
        <v>31</v>
      </c>
      <c r="GZ1" s="7"/>
      <c r="HP1" s="3" t="s">
        <v>31</v>
      </c>
      <c r="HQ1" s="3"/>
      <c r="HS1" s="3" t="s">
        <v>32</v>
      </c>
      <c r="ID1" s="3" t="s">
        <v>32</v>
      </c>
      <c r="IE1" s="3"/>
      <c r="IF1" s="3" t="s">
        <v>33</v>
      </c>
      <c r="IG1" s="7" t="s">
        <v>33</v>
      </c>
      <c r="IK1" s="3" t="s">
        <v>33</v>
      </c>
      <c r="IL1" s="3"/>
      <c r="IN1" s="2" t="s">
        <v>34</v>
      </c>
      <c r="IQ1" s="3" t="s">
        <v>35</v>
      </c>
      <c r="JF1" s="3" t="s">
        <v>35</v>
      </c>
      <c r="JG1" s="3"/>
      <c r="JI1" s="5"/>
      <c r="JJ1" s="5"/>
      <c r="JL1" s="4" t="s">
        <v>36</v>
      </c>
      <c r="JM1" s="3" t="s">
        <v>37</v>
      </c>
      <c r="KF1" s="3" t="s">
        <v>37</v>
      </c>
      <c r="KG1" s="3"/>
      <c r="KI1" s="3" t="s">
        <v>38</v>
      </c>
      <c r="KJ1" t="s">
        <v>38</v>
      </c>
      <c r="KP1" s="3" t="s">
        <v>38</v>
      </c>
      <c r="KQ1" s="3"/>
      <c r="KS1" s="5"/>
      <c r="KT1" s="5"/>
      <c r="KU1" s="5"/>
      <c r="KW1" s="5"/>
      <c r="KX1" s="5"/>
      <c r="KY1" s="5"/>
      <c r="LA1" s="8"/>
      <c r="LD1" s="4"/>
      <c r="LE1" s="4"/>
    </row>
    <row r="2" spans="1:317" ht="15.75" x14ac:dyDescent="0.25">
      <c r="B2" s="24" t="s">
        <v>39</v>
      </c>
      <c r="C2" s="1"/>
      <c r="D2" s="1" t="s">
        <v>40</v>
      </c>
      <c r="E2" s="2" t="s">
        <v>41</v>
      </c>
      <c r="F2" s="2"/>
      <c r="G2" s="2" t="s">
        <v>42</v>
      </c>
      <c r="H2" s="2"/>
      <c r="I2" s="3" t="s">
        <v>43</v>
      </c>
      <c r="J2" t="s">
        <v>43</v>
      </c>
      <c r="K2" s="2"/>
      <c r="L2" t="s">
        <v>44</v>
      </c>
      <c r="N2" s="3" t="s">
        <v>43</v>
      </c>
      <c r="O2" s="3"/>
      <c r="P2" s="5" t="s">
        <v>45</v>
      </c>
      <c r="Q2" s="5"/>
      <c r="R2" s="5"/>
      <c r="S2" s="4" t="s">
        <v>46</v>
      </c>
      <c r="T2" s="3" t="s">
        <v>47</v>
      </c>
      <c r="U2" t="s">
        <v>47</v>
      </c>
      <c r="W2" t="s">
        <v>48</v>
      </c>
      <c r="Y2" t="s">
        <v>49</v>
      </c>
      <c r="AA2" s="3" t="s">
        <v>47</v>
      </c>
      <c r="AB2" s="3"/>
      <c r="AD2" s="2" t="s">
        <v>50</v>
      </c>
      <c r="AF2" s="2" t="s">
        <v>51</v>
      </c>
      <c r="AH2" s="3" t="s">
        <v>52</v>
      </c>
      <c r="AI2" t="s">
        <v>52</v>
      </c>
      <c r="AK2" t="s">
        <v>53</v>
      </c>
      <c r="AM2" s="3" t="s">
        <v>52</v>
      </c>
      <c r="AN2" s="3"/>
      <c r="AP2" s="5" t="s">
        <v>54</v>
      </c>
      <c r="AQ2" s="5"/>
      <c r="AR2" s="6"/>
      <c r="AS2" s="4" t="s">
        <v>55</v>
      </c>
      <c r="AT2" s="3" t="s">
        <v>56</v>
      </c>
      <c r="AU2" s="7" t="s">
        <v>56</v>
      </c>
      <c r="AW2" t="s">
        <v>57</v>
      </c>
      <c r="AY2" s="3" t="s">
        <v>56</v>
      </c>
      <c r="AZ2" s="3"/>
      <c r="BB2" s="3" t="s">
        <v>58</v>
      </c>
      <c r="BD2" s="3" t="s">
        <v>59</v>
      </c>
      <c r="BF2" s="5" t="s">
        <v>60</v>
      </c>
      <c r="BG2" s="5"/>
      <c r="BH2" s="5"/>
      <c r="BI2" s="5" t="s">
        <v>61</v>
      </c>
      <c r="BJ2" s="2" t="s">
        <v>62</v>
      </c>
      <c r="BK2" t="s">
        <v>62</v>
      </c>
      <c r="BM2" t="s">
        <v>63</v>
      </c>
      <c r="BO2" s="3" t="s">
        <v>62</v>
      </c>
      <c r="BP2" s="3"/>
      <c r="BQ2" s="2" t="s">
        <v>64</v>
      </c>
      <c r="BR2" t="s">
        <v>64</v>
      </c>
      <c r="BT2" t="s">
        <v>65</v>
      </c>
      <c r="BV2" t="s">
        <v>66</v>
      </c>
      <c r="BX2" s="3" t="s">
        <v>64</v>
      </c>
      <c r="BY2" s="3"/>
      <c r="CA2" s="2" t="s">
        <v>67</v>
      </c>
      <c r="CB2" s="2"/>
      <c r="CC2" s="2" t="s">
        <v>68</v>
      </c>
      <c r="CE2" s="5" t="s">
        <v>69</v>
      </c>
      <c r="CF2" s="5"/>
      <c r="CG2" s="5"/>
      <c r="CH2" s="5" t="s">
        <v>70</v>
      </c>
      <c r="CI2" s="2" t="s">
        <v>71</v>
      </c>
      <c r="CJ2" t="s">
        <v>71</v>
      </c>
      <c r="CL2" t="s">
        <v>72</v>
      </c>
      <c r="CN2" s="3" t="s">
        <v>71</v>
      </c>
      <c r="CO2" s="3"/>
      <c r="CQ2" s="3" t="s">
        <v>73</v>
      </c>
      <c r="CR2" t="s">
        <v>74</v>
      </c>
      <c r="CT2" t="s">
        <v>75</v>
      </c>
      <c r="CV2" t="s">
        <v>76</v>
      </c>
      <c r="CX2" t="s">
        <v>77</v>
      </c>
      <c r="CZ2" t="s">
        <v>78</v>
      </c>
      <c r="DB2" t="s">
        <v>79</v>
      </c>
      <c r="DD2" t="s">
        <v>80</v>
      </c>
      <c r="DF2" t="s">
        <v>81</v>
      </c>
      <c r="DH2" t="s">
        <v>82</v>
      </c>
      <c r="DJ2" t="s">
        <v>83</v>
      </c>
      <c r="DL2" t="s">
        <v>84</v>
      </c>
      <c r="DN2" t="s">
        <v>85</v>
      </c>
      <c r="DP2" t="s">
        <v>86</v>
      </c>
      <c r="DR2" t="s">
        <v>87</v>
      </c>
      <c r="DT2" t="s">
        <v>88</v>
      </c>
      <c r="DV2" s="3" t="s">
        <v>73</v>
      </c>
      <c r="DW2" s="3"/>
      <c r="DX2" s="3" t="s">
        <v>89</v>
      </c>
      <c r="DY2" t="s">
        <v>90</v>
      </c>
      <c r="EA2" t="s">
        <v>91</v>
      </c>
      <c r="EC2" t="s">
        <v>92</v>
      </c>
      <c r="EE2" t="s">
        <v>93</v>
      </c>
      <c r="EG2" t="s">
        <v>94</v>
      </c>
      <c r="EI2" t="s">
        <v>95</v>
      </c>
      <c r="EK2" s="3" t="s">
        <v>89</v>
      </c>
      <c r="EL2" s="3"/>
      <c r="EM2" s="5" t="s">
        <v>96</v>
      </c>
      <c r="EP2" s="4" t="s">
        <v>97</v>
      </c>
      <c r="ER2" s="2" t="s">
        <v>98</v>
      </c>
      <c r="ET2" s="3" t="s">
        <v>99</v>
      </c>
      <c r="EU2" t="s">
        <v>99</v>
      </c>
      <c r="EW2" t="s">
        <v>100</v>
      </c>
      <c r="EY2" s="3" t="s">
        <v>99</v>
      </c>
      <c r="EZ2" s="3"/>
      <c r="FA2" s="3" t="s">
        <v>101</v>
      </c>
      <c r="FB2" t="s">
        <v>101</v>
      </c>
      <c r="FD2" t="s">
        <v>102</v>
      </c>
      <c r="FF2" t="s">
        <v>103</v>
      </c>
      <c r="FH2" s="3" t="s">
        <v>101</v>
      </c>
      <c r="FI2" s="3"/>
      <c r="FJ2" s="3" t="s">
        <v>104</v>
      </c>
      <c r="FK2" t="s">
        <v>104</v>
      </c>
      <c r="FM2" t="s">
        <v>105</v>
      </c>
      <c r="FO2" t="s">
        <v>106</v>
      </c>
      <c r="FQ2" s="3" t="s">
        <v>104</v>
      </c>
      <c r="FR2" s="3"/>
      <c r="FS2" s="3" t="s">
        <v>107</v>
      </c>
      <c r="FT2" t="s">
        <v>107</v>
      </c>
      <c r="FV2" t="s">
        <v>108</v>
      </c>
      <c r="FX2" t="s">
        <v>109</v>
      </c>
      <c r="FZ2" t="s">
        <v>110</v>
      </c>
      <c r="GB2" s="3" t="s">
        <v>107</v>
      </c>
      <c r="GC2" s="3"/>
      <c r="GD2" s="3" t="s">
        <v>111</v>
      </c>
      <c r="GE2" t="s">
        <v>111</v>
      </c>
      <c r="GG2" t="s">
        <v>112</v>
      </c>
      <c r="GI2" t="s">
        <v>113</v>
      </c>
      <c r="GK2" t="s">
        <v>114</v>
      </c>
      <c r="GM2" t="s">
        <v>115</v>
      </c>
      <c r="GO2" t="s">
        <v>116</v>
      </c>
      <c r="GQ2" t="s">
        <v>117</v>
      </c>
      <c r="GS2" s="3" t="s">
        <v>111</v>
      </c>
      <c r="GT2" s="3"/>
      <c r="GU2" s="5" t="s">
        <v>118</v>
      </c>
      <c r="GV2" s="5"/>
      <c r="GW2" s="5"/>
      <c r="GX2" s="4" t="s">
        <v>119</v>
      </c>
      <c r="GY2" s="3" t="s">
        <v>120</v>
      </c>
      <c r="GZ2" s="7" t="s">
        <v>120</v>
      </c>
      <c r="HB2" t="s">
        <v>121</v>
      </c>
      <c r="HD2" t="s">
        <v>122</v>
      </c>
      <c r="HF2" t="s">
        <v>123</v>
      </c>
      <c r="HH2" t="s">
        <v>124</v>
      </c>
      <c r="HJ2" t="s">
        <v>125</v>
      </c>
      <c r="HL2" t="s">
        <v>126</v>
      </c>
      <c r="HN2" t="s">
        <v>127</v>
      </c>
      <c r="HP2" s="3" t="s">
        <v>120</v>
      </c>
      <c r="HQ2" s="3"/>
      <c r="HS2" s="3" t="s">
        <v>128</v>
      </c>
      <c r="HT2" t="s">
        <v>128</v>
      </c>
      <c r="HV2" t="s">
        <v>129</v>
      </c>
      <c r="HX2" t="s">
        <v>130</v>
      </c>
      <c r="HZ2" t="s">
        <v>131</v>
      </c>
      <c r="IB2" t="s">
        <v>132</v>
      </c>
      <c r="ID2" s="3" t="s">
        <v>128</v>
      </c>
      <c r="IE2" s="3"/>
      <c r="IF2" s="3" t="s">
        <v>133</v>
      </c>
      <c r="IG2" s="7" t="s">
        <v>133</v>
      </c>
      <c r="II2" t="s">
        <v>134</v>
      </c>
      <c r="IK2" s="3" t="s">
        <v>133</v>
      </c>
      <c r="IL2" s="3"/>
      <c r="IN2" s="2" t="s">
        <v>135</v>
      </c>
      <c r="IQ2" s="3" t="s">
        <v>136</v>
      </c>
      <c r="IR2" t="s">
        <v>136</v>
      </c>
      <c r="IT2" t="s">
        <v>137</v>
      </c>
      <c r="IV2" t="s">
        <v>138</v>
      </c>
      <c r="IX2" t="s">
        <v>139</v>
      </c>
      <c r="IZ2" t="s">
        <v>140</v>
      </c>
      <c r="JB2" t="s">
        <v>141</v>
      </c>
      <c r="JD2" t="s">
        <v>142</v>
      </c>
      <c r="JF2" s="3" t="s">
        <v>136</v>
      </c>
      <c r="JG2" s="3"/>
      <c r="JI2" s="5" t="s">
        <v>143</v>
      </c>
      <c r="JJ2" s="5"/>
      <c r="JL2" s="4" t="s">
        <v>144</v>
      </c>
      <c r="JM2" s="3" t="s">
        <v>145</v>
      </c>
      <c r="JN2" t="s">
        <v>145</v>
      </c>
      <c r="JP2" t="s">
        <v>146</v>
      </c>
      <c r="JR2" t="s">
        <v>147</v>
      </c>
      <c r="JT2" t="s">
        <v>148</v>
      </c>
      <c r="JV2" t="s">
        <v>149</v>
      </c>
      <c r="JX2" t="s">
        <v>150</v>
      </c>
      <c r="JZ2" t="s">
        <v>151</v>
      </c>
      <c r="KB2" t="s">
        <v>152</v>
      </c>
      <c r="KD2" t="s">
        <v>153</v>
      </c>
      <c r="KF2" s="3" t="s">
        <v>145</v>
      </c>
      <c r="KG2" s="3"/>
      <c r="KI2" s="3" t="s">
        <v>154</v>
      </c>
      <c r="KJ2" t="s">
        <v>154</v>
      </c>
      <c r="KL2" t="s">
        <v>155</v>
      </c>
      <c r="KN2" t="s">
        <v>156</v>
      </c>
      <c r="KP2" s="3" t="s">
        <v>154</v>
      </c>
      <c r="KQ2" s="3"/>
      <c r="KS2" s="5" t="s">
        <v>157</v>
      </c>
      <c r="KT2" s="5"/>
      <c r="KU2" s="5"/>
      <c r="KW2" s="5" t="s">
        <v>158</v>
      </c>
      <c r="KX2" s="5"/>
      <c r="KY2" s="5"/>
      <c r="LA2" s="8"/>
      <c r="LD2" s="4" t="s">
        <v>159</v>
      </c>
      <c r="LE2" s="4"/>
    </row>
    <row r="3" spans="1:317" ht="15.75" x14ac:dyDescent="0.25">
      <c r="B3" s="24" t="s">
        <v>160</v>
      </c>
      <c r="C3" s="1"/>
      <c r="D3" s="1"/>
      <c r="E3" s="2" t="s">
        <v>161</v>
      </c>
      <c r="F3" s="2"/>
      <c r="G3" s="2" t="s">
        <v>162</v>
      </c>
      <c r="H3" s="2"/>
      <c r="I3" s="2" t="s">
        <v>163</v>
      </c>
      <c r="J3" t="s">
        <v>164</v>
      </c>
      <c r="K3" s="2"/>
      <c r="L3" t="s">
        <v>165</v>
      </c>
      <c r="N3" s="3" t="s">
        <v>166</v>
      </c>
      <c r="O3" s="3"/>
      <c r="P3" s="5" t="s">
        <v>167</v>
      </c>
      <c r="Q3" s="5"/>
      <c r="R3" s="5"/>
      <c r="T3" s="3" t="s">
        <v>168</v>
      </c>
      <c r="U3" t="s">
        <v>169</v>
      </c>
      <c r="W3" t="s">
        <v>170</v>
      </c>
      <c r="Y3" t="s">
        <v>171</v>
      </c>
      <c r="AA3" s="3" t="s">
        <v>168</v>
      </c>
      <c r="AB3" s="3"/>
      <c r="AD3" s="2" t="s">
        <v>172</v>
      </c>
      <c r="AF3" s="2" t="s">
        <v>173</v>
      </c>
      <c r="AH3" s="3" t="s">
        <v>174</v>
      </c>
      <c r="AI3" t="s">
        <v>175</v>
      </c>
      <c r="AK3" t="s">
        <v>176</v>
      </c>
      <c r="AM3" s="3" t="s">
        <v>174</v>
      </c>
      <c r="AN3" s="3"/>
      <c r="AP3" s="5" t="s">
        <v>167</v>
      </c>
      <c r="AQ3" s="5"/>
      <c r="AR3" s="5"/>
      <c r="AT3" s="3" t="s">
        <v>177</v>
      </c>
      <c r="AU3" s="7" t="s">
        <v>178</v>
      </c>
      <c r="AW3" t="s">
        <v>179</v>
      </c>
      <c r="AY3" s="3" t="s">
        <v>177</v>
      </c>
      <c r="AZ3" s="3"/>
      <c r="BB3" s="3" t="s">
        <v>180</v>
      </c>
      <c r="BD3" s="3" t="s">
        <v>181</v>
      </c>
      <c r="BF3" s="5" t="s">
        <v>167</v>
      </c>
      <c r="BG3" s="5"/>
      <c r="BH3" s="5"/>
      <c r="BI3" s="5"/>
      <c r="BJ3" s="2" t="s">
        <v>182</v>
      </c>
      <c r="BK3" t="s">
        <v>183</v>
      </c>
      <c r="BM3" t="s">
        <v>184</v>
      </c>
      <c r="BO3" s="3" t="s">
        <v>182</v>
      </c>
      <c r="BP3" s="3"/>
      <c r="BQ3" s="2" t="s">
        <v>185</v>
      </c>
      <c r="BR3" t="s">
        <v>186</v>
      </c>
      <c r="BT3" t="s">
        <v>187</v>
      </c>
      <c r="BV3" t="s">
        <v>188</v>
      </c>
      <c r="BX3" s="3" t="s">
        <v>185</v>
      </c>
      <c r="BY3" s="3"/>
      <c r="CA3" s="2" t="s">
        <v>189</v>
      </c>
      <c r="CB3" s="2"/>
      <c r="CC3" s="2" t="s">
        <v>190</v>
      </c>
      <c r="CE3" s="5" t="s">
        <v>167</v>
      </c>
      <c r="CF3" s="5"/>
      <c r="CG3" s="5"/>
      <c r="CH3" s="5"/>
      <c r="CI3" s="2" t="s">
        <v>191</v>
      </c>
      <c r="CJ3" t="s">
        <v>192</v>
      </c>
      <c r="CL3" t="s">
        <v>193</v>
      </c>
      <c r="CN3" s="3" t="s">
        <v>191</v>
      </c>
      <c r="CO3" s="3"/>
      <c r="CQ3" s="3" t="s">
        <v>194</v>
      </c>
      <c r="CR3" t="s">
        <v>195</v>
      </c>
      <c r="CT3" t="s">
        <v>196</v>
      </c>
      <c r="CV3" t="s">
        <v>197</v>
      </c>
      <c r="CX3" t="s">
        <v>198</v>
      </c>
      <c r="CZ3" t="s">
        <v>199</v>
      </c>
      <c r="DB3" t="s">
        <v>200</v>
      </c>
      <c r="DD3" t="s">
        <v>201</v>
      </c>
      <c r="DF3" t="s">
        <v>202</v>
      </c>
      <c r="DH3" t="s">
        <v>203</v>
      </c>
      <c r="DJ3" t="s">
        <v>204</v>
      </c>
      <c r="DT3" t="s">
        <v>205</v>
      </c>
      <c r="DV3" s="3" t="s">
        <v>194</v>
      </c>
      <c r="DW3" s="3"/>
      <c r="DX3" s="3" t="s">
        <v>206</v>
      </c>
      <c r="DY3" t="s">
        <v>207</v>
      </c>
      <c r="EC3" t="s">
        <v>208</v>
      </c>
      <c r="EE3" t="s">
        <v>209</v>
      </c>
      <c r="EG3" t="s">
        <v>210</v>
      </c>
      <c r="EI3" t="s">
        <v>211</v>
      </c>
      <c r="EK3" s="3" t="s">
        <v>206</v>
      </c>
      <c r="EL3" s="3"/>
      <c r="EM3" s="5" t="s">
        <v>167</v>
      </c>
      <c r="EN3" s="5"/>
      <c r="EO3" s="5"/>
      <c r="ER3" s="2" t="s">
        <v>212</v>
      </c>
      <c r="ET3" s="3" t="s">
        <v>213</v>
      </c>
      <c r="EU3" t="s">
        <v>214</v>
      </c>
      <c r="EW3" t="s">
        <v>215</v>
      </c>
      <c r="EY3" s="3" t="s">
        <v>213</v>
      </c>
      <c r="EZ3" s="3"/>
      <c r="FA3" s="3" t="s">
        <v>216</v>
      </c>
      <c r="FB3" t="s">
        <v>217</v>
      </c>
      <c r="FD3" t="s">
        <v>218</v>
      </c>
      <c r="FF3" t="s">
        <v>219</v>
      </c>
      <c r="FH3" s="3" t="s">
        <v>216</v>
      </c>
      <c r="FI3" s="3"/>
      <c r="FJ3" s="3" t="s">
        <v>220</v>
      </c>
      <c r="FK3" t="s">
        <v>221</v>
      </c>
      <c r="FM3" t="s">
        <v>219</v>
      </c>
      <c r="FO3" t="s">
        <v>222</v>
      </c>
      <c r="FQ3" s="3" t="s">
        <v>220</v>
      </c>
      <c r="FR3" s="3"/>
      <c r="FS3" s="3" t="s">
        <v>223</v>
      </c>
      <c r="FT3" t="s">
        <v>224</v>
      </c>
      <c r="FV3" t="s">
        <v>225</v>
      </c>
      <c r="GB3" s="3" t="s">
        <v>223</v>
      </c>
      <c r="GC3" s="3"/>
      <c r="GD3" s="3" t="s">
        <v>226</v>
      </c>
      <c r="GE3" t="s">
        <v>227</v>
      </c>
      <c r="GG3" t="s">
        <v>228</v>
      </c>
      <c r="GI3" t="s">
        <v>229</v>
      </c>
      <c r="GK3" t="s">
        <v>230</v>
      </c>
      <c r="GM3" t="s">
        <v>231</v>
      </c>
      <c r="GO3" t="s">
        <v>232</v>
      </c>
      <c r="GS3" s="3" t="s">
        <v>226</v>
      </c>
      <c r="GT3" s="3"/>
      <c r="GU3" s="5" t="s">
        <v>167</v>
      </c>
      <c r="GV3" s="5"/>
      <c r="GW3" s="5"/>
      <c r="GY3" s="3" t="s">
        <v>233</v>
      </c>
      <c r="GZ3" s="7" t="s">
        <v>234</v>
      </c>
      <c r="HB3" t="s">
        <v>235</v>
      </c>
      <c r="HF3" t="s">
        <v>236</v>
      </c>
      <c r="HH3" t="s">
        <v>237</v>
      </c>
      <c r="HJ3" t="s">
        <v>238</v>
      </c>
      <c r="HL3" t="s">
        <v>239</v>
      </c>
      <c r="HN3" t="s">
        <v>240</v>
      </c>
      <c r="HP3" s="3" t="s">
        <v>233</v>
      </c>
      <c r="HQ3" s="3"/>
      <c r="HS3" s="3" t="s">
        <v>241</v>
      </c>
      <c r="HT3" t="s">
        <v>242</v>
      </c>
      <c r="HV3" t="s">
        <v>243</v>
      </c>
      <c r="HX3" t="s">
        <v>244</v>
      </c>
      <c r="HZ3" t="s">
        <v>245</v>
      </c>
      <c r="IB3" t="s">
        <v>246</v>
      </c>
      <c r="ID3" s="3" t="s">
        <v>241</v>
      </c>
      <c r="IE3" s="3"/>
      <c r="IF3" s="3" t="s">
        <v>247</v>
      </c>
      <c r="IG3" s="7" t="s">
        <v>248</v>
      </c>
      <c r="II3" t="s">
        <v>249</v>
      </c>
      <c r="IK3" s="3" t="s">
        <v>247</v>
      </c>
      <c r="IL3" s="3"/>
      <c r="IN3" s="2" t="s">
        <v>250</v>
      </c>
      <c r="IQ3" s="3" t="s">
        <v>251</v>
      </c>
      <c r="IR3" t="s">
        <v>252</v>
      </c>
      <c r="IT3" t="s">
        <v>253</v>
      </c>
      <c r="IV3" t="s">
        <v>254</v>
      </c>
      <c r="IX3" t="s">
        <v>255</v>
      </c>
      <c r="IZ3" t="s">
        <v>256</v>
      </c>
      <c r="JB3" t="s">
        <v>257</v>
      </c>
      <c r="JD3" t="s">
        <v>258</v>
      </c>
      <c r="JF3" s="3" t="s">
        <v>251</v>
      </c>
      <c r="JG3" s="3"/>
      <c r="JI3" s="5" t="s">
        <v>167</v>
      </c>
      <c r="JJ3" s="5"/>
      <c r="JK3" s="5"/>
      <c r="JM3" s="3" t="s">
        <v>259</v>
      </c>
      <c r="JN3" t="s">
        <v>260</v>
      </c>
      <c r="JP3" t="s">
        <v>261</v>
      </c>
      <c r="JR3" t="s">
        <v>262</v>
      </c>
      <c r="JT3" t="s">
        <v>263</v>
      </c>
      <c r="JV3" t="s">
        <v>264</v>
      </c>
      <c r="JX3" t="s">
        <v>265</v>
      </c>
      <c r="JZ3" t="s">
        <v>266</v>
      </c>
      <c r="KB3" t="s">
        <v>267</v>
      </c>
      <c r="KD3" t="s">
        <v>268</v>
      </c>
      <c r="KF3" s="3" t="s">
        <v>259</v>
      </c>
      <c r="KG3" s="3"/>
      <c r="KI3" s="3" t="s">
        <v>269</v>
      </c>
      <c r="KJ3" t="s">
        <v>270</v>
      </c>
      <c r="KL3" t="s">
        <v>271</v>
      </c>
      <c r="KN3" t="s">
        <v>272</v>
      </c>
      <c r="KP3" s="3" t="s">
        <v>269</v>
      </c>
      <c r="KQ3" s="3"/>
      <c r="KS3" s="5" t="s">
        <v>167</v>
      </c>
      <c r="KT3" s="5"/>
      <c r="KU3" s="5"/>
      <c r="KW3" s="5" t="s">
        <v>167</v>
      </c>
      <c r="KX3" s="5"/>
      <c r="KY3" s="5"/>
      <c r="LA3" s="8"/>
      <c r="LB3" s="4" t="s">
        <v>273</v>
      </c>
      <c r="LD3" s="4" t="s">
        <v>274</v>
      </c>
      <c r="LE3" s="4" t="s">
        <v>275</v>
      </c>
    </row>
    <row r="4" spans="1:317" ht="15.75" x14ac:dyDescent="0.25">
      <c r="B4" s="21" t="s">
        <v>276</v>
      </c>
      <c r="C4" s="9" t="s">
        <v>277</v>
      </c>
      <c r="D4" s="1"/>
      <c r="E4" t="s">
        <v>278</v>
      </c>
      <c r="F4" t="s">
        <v>279</v>
      </c>
      <c r="G4" t="s">
        <v>278</v>
      </c>
      <c r="H4" t="s">
        <v>279</v>
      </c>
      <c r="J4" t="s">
        <v>278</v>
      </c>
      <c r="K4" t="s">
        <v>279</v>
      </c>
      <c r="L4" t="s">
        <v>278</v>
      </c>
      <c r="M4" t="s">
        <v>279</v>
      </c>
      <c r="N4" s="3" t="s">
        <v>278</v>
      </c>
      <c r="O4" s="3" t="s">
        <v>279</v>
      </c>
      <c r="P4" s="5" t="s">
        <v>278</v>
      </c>
      <c r="Q4" s="5" t="s">
        <v>279</v>
      </c>
      <c r="R4" s="5" t="s">
        <v>280</v>
      </c>
      <c r="U4" t="s">
        <v>278</v>
      </c>
      <c r="V4" t="s">
        <v>279</v>
      </c>
      <c r="W4" t="s">
        <v>278</v>
      </c>
      <c r="X4" t="s">
        <v>279</v>
      </c>
      <c r="Y4" t="s">
        <v>278</v>
      </c>
      <c r="Z4" t="s">
        <v>279</v>
      </c>
      <c r="AA4" s="3" t="s">
        <v>278</v>
      </c>
      <c r="AB4" s="3" t="s">
        <v>279</v>
      </c>
      <c r="AD4" t="s">
        <v>278</v>
      </c>
      <c r="AE4" t="s">
        <v>279</v>
      </c>
      <c r="AF4" t="s">
        <v>278</v>
      </c>
      <c r="AG4" t="s">
        <v>279</v>
      </c>
      <c r="AI4" t="s">
        <v>278</v>
      </c>
      <c r="AJ4" t="s">
        <v>279</v>
      </c>
      <c r="AK4" t="s">
        <v>278</v>
      </c>
      <c r="AL4" t="s">
        <v>279</v>
      </c>
      <c r="AM4" s="3" t="s">
        <v>278</v>
      </c>
      <c r="AN4" s="3" t="s">
        <v>279</v>
      </c>
      <c r="AP4" s="5" t="s">
        <v>278</v>
      </c>
      <c r="AQ4" s="5" t="s">
        <v>279</v>
      </c>
      <c r="AR4" s="5" t="s">
        <v>280</v>
      </c>
      <c r="AU4" t="s">
        <v>278</v>
      </c>
      <c r="AV4" t="s">
        <v>279</v>
      </c>
      <c r="AW4" t="s">
        <v>278</v>
      </c>
      <c r="AX4" t="s">
        <v>279</v>
      </c>
      <c r="AY4" s="3" t="s">
        <v>278</v>
      </c>
      <c r="AZ4" s="3" t="s">
        <v>279</v>
      </c>
      <c r="BB4" t="s">
        <v>278</v>
      </c>
      <c r="BC4" t="s">
        <v>279</v>
      </c>
      <c r="BD4" t="s">
        <v>278</v>
      </c>
      <c r="BE4" t="s">
        <v>279</v>
      </c>
      <c r="BF4" s="5" t="s">
        <v>278</v>
      </c>
      <c r="BG4" s="5" t="s">
        <v>279</v>
      </c>
      <c r="BH4" s="5" t="s">
        <v>280</v>
      </c>
      <c r="BI4" s="5"/>
      <c r="BK4" t="s">
        <v>278</v>
      </c>
      <c r="BL4" t="s">
        <v>279</v>
      </c>
      <c r="BM4" t="s">
        <v>278</v>
      </c>
      <c r="BN4" t="s">
        <v>279</v>
      </c>
      <c r="BO4" s="3" t="s">
        <v>278</v>
      </c>
      <c r="BP4" s="3" t="s">
        <v>279</v>
      </c>
      <c r="BR4" t="s">
        <v>278</v>
      </c>
      <c r="BS4" t="s">
        <v>279</v>
      </c>
      <c r="BT4" t="s">
        <v>278</v>
      </c>
      <c r="BU4" t="s">
        <v>279</v>
      </c>
      <c r="BV4" t="s">
        <v>278</v>
      </c>
      <c r="BW4" t="s">
        <v>279</v>
      </c>
      <c r="BX4" s="3" t="s">
        <v>278</v>
      </c>
      <c r="BY4" s="3" t="s">
        <v>279</v>
      </c>
      <c r="CA4" t="s">
        <v>278</v>
      </c>
      <c r="CB4" t="s">
        <v>279</v>
      </c>
      <c r="CC4" t="s">
        <v>278</v>
      </c>
      <c r="CD4" t="s">
        <v>279</v>
      </c>
      <c r="CE4" s="5" t="s">
        <v>278</v>
      </c>
      <c r="CF4" s="5" t="s">
        <v>279</v>
      </c>
      <c r="CG4" s="5" t="s">
        <v>280</v>
      </c>
      <c r="CH4" s="5"/>
      <c r="CJ4" t="s">
        <v>278</v>
      </c>
      <c r="CK4" t="s">
        <v>279</v>
      </c>
      <c r="CL4" t="s">
        <v>278</v>
      </c>
      <c r="CM4" t="s">
        <v>279</v>
      </c>
      <c r="CN4" s="3" t="s">
        <v>278</v>
      </c>
      <c r="CO4" s="3" t="s">
        <v>279</v>
      </c>
      <c r="CR4" t="s">
        <v>278</v>
      </c>
      <c r="CS4" t="s">
        <v>279</v>
      </c>
      <c r="CT4" t="s">
        <v>278</v>
      </c>
      <c r="CU4" t="s">
        <v>279</v>
      </c>
      <c r="CV4" t="s">
        <v>278</v>
      </c>
      <c r="CW4" t="s">
        <v>279</v>
      </c>
      <c r="CX4" t="s">
        <v>278</v>
      </c>
      <c r="CY4" t="s">
        <v>279</v>
      </c>
      <c r="CZ4" t="s">
        <v>278</v>
      </c>
      <c r="DA4" t="s">
        <v>279</v>
      </c>
      <c r="DB4" t="s">
        <v>278</v>
      </c>
      <c r="DC4" t="s">
        <v>279</v>
      </c>
      <c r="DD4" t="s">
        <v>278</v>
      </c>
      <c r="DE4" t="s">
        <v>279</v>
      </c>
      <c r="DF4" t="s">
        <v>278</v>
      </c>
      <c r="DG4" t="s">
        <v>279</v>
      </c>
      <c r="DH4" t="s">
        <v>278</v>
      </c>
      <c r="DI4" t="s">
        <v>279</v>
      </c>
      <c r="DJ4" t="s">
        <v>278</v>
      </c>
      <c r="DK4" t="s">
        <v>279</v>
      </c>
      <c r="DL4" t="s">
        <v>278</v>
      </c>
      <c r="DM4" t="s">
        <v>279</v>
      </c>
      <c r="DN4" t="s">
        <v>278</v>
      </c>
      <c r="DO4" t="s">
        <v>279</v>
      </c>
      <c r="DP4" t="s">
        <v>278</v>
      </c>
      <c r="DQ4" t="s">
        <v>279</v>
      </c>
      <c r="DT4" t="s">
        <v>278</v>
      </c>
      <c r="DU4" t="s">
        <v>279</v>
      </c>
      <c r="DV4" s="3" t="s">
        <v>278</v>
      </c>
      <c r="DW4" s="3" t="s">
        <v>279</v>
      </c>
      <c r="DY4" t="s">
        <v>278</v>
      </c>
      <c r="DZ4" t="s">
        <v>279</v>
      </c>
      <c r="EA4" t="s">
        <v>278</v>
      </c>
      <c r="EB4" t="s">
        <v>279</v>
      </c>
      <c r="EC4" t="s">
        <v>278</v>
      </c>
      <c r="ED4" t="s">
        <v>279</v>
      </c>
      <c r="EE4" t="s">
        <v>278</v>
      </c>
      <c r="EF4" t="s">
        <v>279</v>
      </c>
      <c r="EG4" t="s">
        <v>278</v>
      </c>
      <c r="EH4" t="s">
        <v>279</v>
      </c>
      <c r="EI4" t="s">
        <v>278</v>
      </c>
      <c r="EJ4" t="s">
        <v>279</v>
      </c>
      <c r="EK4" s="3" t="s">
        <v>278</v>
      </c>
      <c r="EL4" s="3" t="s">
        <v>279</v>
      </c>
      <c r="EM4" s="5" t="s">
        <v>278</v>
      </c>
      <c r="EN4" s="5" t="s">
        <v>279</v>
      </c>
      <c r="EO4" s="5" t="s">
        <v>280</v>
      </c>
      <c r="ER4" t="s">
        <v>278</v>
      </c>
      <c r="ES4" t="s">
        <v>279</v>
      </c>
      <c r="EU4" t="s">
        <v>278</v>
      </c>
      <c r="EV4" t="s">
        <v>279</v>
      </c>
      <c r="EW4" t="s">
        <v>278</v>
      </c>
      <c r="EX4" t="s">
        <v>279</v>
      </c>
      <c r="EY4" s="3" t="s">
        <v>278</v>
      </c>
      <c r="EZ4" s="3" t="s">
        <v>279</v>
      </c>
      <c r="FB4" t="s">
        <v>278</v>
      </c>
      <c r="FC4" t="s">
        <v>279</v>
      </c>
      <c r="FD4" t="s">
        <v>278</v>
      </c>
      <c r="FE4" t="s">
        <v>279</v>
      </c>
      <c r="FF4" t="s">
        <v>278</v>
      </c>
      <c r="FG4" t="s">
        <v>279</v>
      </c>
      <c r="FH4" s="3" t="s">
        <v>278</v>
      </c>
      <c r="FI4" s="3" t="s">
        <v>279</v>
      </c>
      <c r="FK4" t="s">
        <v>278</v>
      </c>
      <c r="FL4" t="s">
        <v>279</v>
      </c>
      <c r="FM4" t="s">
        <v>278</v>
      </c>
      <c r="FN4" t="s">
        <v>279</v>
      </c>
      <c r="FO4" t="s">
        <v>278</v>
      </c>
      <c r="FP4" t="s">
        <v>279</v>
      </c>
      <c r="FQ4" s="3" t="s">
        <v>278</v>
      </c>
      <c r="FR4" s="3" t="s">
        <v>279</v>
      </c>
      <c r="FT4" t="s">
        <v>278</v>
      </c>
      <c r="FU4" t="s">
        <v>279</v>
      </c>
      <c r="FV4" t="s">
        <v>278</v>
      </c>
      <c r="FW4" t="s">
        <v>279</v>
      </c>
      <c r="FX4" t="s">
        <v>278</v>
      </c>
      <c r="FY4" t="s">
        <v>279</v>
      </c>
      <c r="FZ4" t="s">
        <v>278</v>
      </c>
      <c r="GA4" t="s">
        <v>279</v>
      </c>
      <c r="GB4" s="3" t="s">
        <v>278</v>
      </c>
      <c r="GC4" s="3" t="s">
        <v>279</v>
      </c>
      <c r="GE4" t="s">
        <v>278</v>
      </c>
      <c r="GF4" t="s">
        <v>279</v>
      </c>
      <c r="GG4" t="s">
        <v>278</v>
      </c>
      <c r="GH4" t="s">
        <v>279</v>
      </c>
      <c r="GI4" t="s">
        <v>278</v>
      </c>
      <c r="GJ4" t="s">
        <v>279</v>
      </c>
      <c r="GK4" t="s">
        <v>278</v>
      </c>
      <c r="GL4" t="s">
        <v>279</v>
      </c>
      <c r="GM4" t="s">
        <v>278</v>
      </c>
      <c r="GN4" t="s">
        <v>279</v>
      </c>
      <c r="GO4" t="s">
        <v>278</v>
      </c>
      <c r="GP4" t="s">
        <v>279</v>
      </c>
      <c r="GQ4" t="s">
        <v>278</v>
      </c>
      <c r="GR4" t="s">
        <v>279</v>
      </c>
      <c r="GS4" s="3" t="s">
        <v>278</v>
      </c>
      <c r="GT4" s="3" t="s">
        <v>279</v>
      </c>
      <c r="GU4" s="5" t="s">
        <v>278</v>
      </c>
      <c r="GV4" s="5" t="s">
        <v>279</v>
      </c>
      <c r="GW4" s="5" t="s">
        <v>280</v>
      </c>
      <c r="GZ4" t="s">
        <v>278</v>
      </c>
      <c r="HA4" t="s">
        <v>279</v>
      </c>
      <c r="HB4" t="s">
        <v>278</v>
      </c>
      <c r="HC4" t="s">
        <v>279</v>
      </c>
      <c r="HD4" t="s">
        <v>278</v>
      </c>
      <c r="HE4" t="s">
        <v>279</v>
      </c>
      <c r="HF4" t="s">
        <v>278</v>
      </c>
      <c r="HG4" t="s">
        <v>279</v>
      </c>
      <c r="HH4" t="s">
        <v>278</v>
      </c>
      <c r="HI4" t="s">
        <v>279</v>
      </c>
      <c r="HJ4" t="s">
        <v>278</v>
      </c>
      <c r="HK4" t="s">
        <v>279</v>
      </c>
      <c r="HL4" t="s">
        <v>278</v>
      </c>
      <c r="HM4" t="s">
        <v>279</v>
      </c>
      <c r="HN4" t="s">
        <v>278</v>
      </c>
      <c r="HO4" t="s">
        <v>279</v>
      </c>
      <c r="HP4" s="3" t="s">
        <v>278</v>
      </c>
      <c r="HQ4" s="3" t="s">
        <v>279</v>
      </c>
      <c r="HT4" t="s">
        <v>278</v>
      </c>
      <c r="HU4" t="s">
        <v>279</v>
      </c>
      <c r="HV4" t="s">
        <v>278</v>
      </c>
      <c r="HW4" t="s">
        <v>279</v>
      </c>
      <c r="HX4" t="s">
        <v>278</v>
      </c>
      <c r="HY4" t="s">
        <v>279</v>
      </c>
      <c r="HZ4" t="s">
        <v>278</v>
      </c>
      <c r="IA4" t="s">
        <v>279</v>
      </c>
      <c r="IB4" t="s">
        <v>278</v>
      </c>
      <c r="IC4" t="s">
        <v>279</v>
      </c>
      <c r="ID4" s="3" t="s">
        <v>278</v>
      </c>
      <c r="IE4" s="3" t="s">
        <v>279</v>
      </c>
      <c r="IF4" s="3"/>
      <c r="IG4" t="s">
        <v>278</v>
      </c>
      <c r="IH4" t="s">
        <v>279</v>
      </c>
      <c r="II4" t="s">
        <v>278</v>
      </c>
      <c r="IJ4" t="s">
        <v>279</v>
      </c>
      <c r="IK4" s="3" t="s">
        <v>278</v>
      </c>
      <c r="IL4" s="3" t="s">
        <v>279</v>
      </c>
      <c r="IN4" t="s">
        <v>278</v>
      </c>
      <c r="IO4" t="s">
        <v>279</v>
      </c>
      <c r="IR4" t="s">
        <v>278</v>
      </c>
      <c r="IS4" t="s">
        <v>279</v>
      </c>
      <c r="IT4" t="s">
        <v>278</v>
      </c>
      <c r="IU4" t="s">
        <v>279</v>
      </c>
      <c r="IV4" t="s">
        <v>278</v>
      </c>
      <c r="IW4" t="s">
        <v>279</v>
      </c>
      <c r="IX4" t="s">
        <v>278</v>
      </c>
      <c r="IY4" t="s">
        <v>279</v>
      </c>
      <c r="IZ4" t="s">
        <v>278</v>
      </c>
      <c r="JA4" t="s">
        <v>279</v>
      </c>
      <c r="JB4" t="s">
        <v>278</v>
      </c>
      <c r="JC4" t="s">
        <v>279</v>
      </c>
      <c r="JD4" t="s">
        <v>278</v>
      </c>
      <c r="JE4" t="s">
        <v>279</v>
      </c>
      <c r="JF4" s="3" t="s">
        <v>278</v>
      </c>
      <c r="JG4" s="3" t="s">
        <v>279</v>
      </c>
      <c r="JI4" s="5" t="s">
        <v>278</v>
      </c>
      <c r="JJ4" s="5" t="s">
        <v>279</v>
      </c>
      <c r="JK4" s="5" t="s">
        <v>280</v>
      </c>
      <c r="JN4" t="s">
        <v>278</v>
      </c>
      <c r="JO4" t="s">
        <v>279</v>
      </c>
      <c r="JP4" t="s">
        <v>278</v>
      </c>
      <c r="JQ4" t="s">
        <v>279</v>
      </c>
      <c r="JR4" t="s">
        <v>278</v>
      </c>
      <c r="JS4" t="s">
        <v>279</v>
      </c>
      <c r="JT4" t="s">
        <v>278</v>
      </c>
      <c r="JU4" t="s">
        <v>279</v>
      </c>
      <c r="JV4" t="s">
        <v>278</v>
      </c>
      <c r="JW4" t="s">
        <v>279</v>
      </c>
      <c r="JX4" t="s">
        <v>278</v>
      </c>
      <c r="JY4" t="s">
        <v>279</v>
      </c>
      <c r="JZ4" t="s">
        <v>278</v>
      </c>
      <c r="KA4" t="s">
        <v>279</v>
      </c>
      <c r="KB4" t="s">
        <v>278</v>
      </c>
      <c r="KC4" t="s">
        <v>279</v>
      </c>
      <c r="KD4" t="s">
        <v>278</v>
      </c>
      <c r="KE4" t="s">
        <v>279</v>
      </c>
      <c r="KF4" s="3" t="s">
        <v>278</v>
      </c>
      <c r="KG4" s="3" t="s">
        <v>279</v>
      </c>
      <c r="KJ4" t="s">
        <v>278</v>
      </c>
      <c r="KK4" t="s">
        <v>279</v>
      </c>
      <c r="KL4" t="s">
        <v>278</v>
      </c>
      <c r="KM4" t="s">
        <v>279</v>
      </c>
      <c r="KN4" t="s">
        <v>278</v>
      </c>
      <c r="KO4" t="s">
        <v>279</v>
      </c>
      <c r="KP4" s="3" t="s">
        <v>278</v>
      </c>
      <c r="KQ4" s="3" t="s">
        <v>279</v>
      </c>
      <c r="KS4" s="5" t="s">
        <v>278</v>
      </c>
      <c r="KT4" s="5" t="s">
        <v>279</v>
      </c>
      <c r="KU4" s="5" t="s">
        <v>280</v>
      </c>
      <c r="KW4" s="5" t="s">
        <v>278</v>
      </c>
      <c r="KX4" s="5" t="s">
        <v>279</v>
      </c>
      <c r="KY4" s="5" t="s">
        <v>280</v>
      </c>
      <c r="LA4" s="8"/>
      <c r="LD4" s="4"/>
      <c r="LE4" s="4"/>
    </row>
    <row r="5" spans="1:317" ht="15.75" x14ac:dyDescent="0.25">
      <c r="B5" s="24" t="s">
        <v>281</v>
      </c>
      <c r="C5" s="1"/>
      <c r="D5" s="1"/>
      <c r="E5">
        <v>940</v>
      </c>
      <c r="F5">
        <v>45970</v>
      </c>
      <c r="G5">
        <v>4991</v>
      </c>
      <c r="H5">
        <v>56923</v>
      </c>
      <c r="N5" s="3">
        <v>14921</v>
      </c>
      <c r="O5" s="3">
        <v>78245</v>
      </c>
      <c r="P5" s="5">
        <f>E5+G5+N5</f>
        <v>20852</v>
      </c>
      <c r="Q5" s="5">
        <f>F5+H5+O5</f>
        <v>181138</v>
      </c>
      <c r="R5" s="10">
        <f>Q5/P5</f>
        <v>8.6868405908306165</v>
      </c>
      <c r="AA5" s="3">
        <v>54550</v>
      </c>
      <c r="AB5" s="3">
        <v>504387</v>
      </c>
      <c r="AD5">
        <v>1831</v>
      </c>
      <c r="AE5">
        <v>26820</v>
      </c>
      <c r="AF5">
        <v>2198</v>
      </c>
      <c r="AG5">
        <v>51564</v>
      </c>
      <c r="AM5" s="3">
        <v>5297</v>
      </c>
      <c r="AN5" s="3">
        <v>83510</v>
      </c>
      <c r="AP5" s="5">
        <f>AA5+AD5+AF5+AM5</f>
        <v>63876</v>
      </c>
      <c r="AQ5" s="5">
        <f>AB5+AE5+AG5+AN5</f>
        <v>666281</v>
      </c>
      <c r="AR5" s="10">
        <f>AQ5/AP5</f>
        <v>10.430850397645438</v>
      </c>
      <c r="AY5" s="3">
        <v>12931</v>
      </c>
      <c r="AZ5" s="3">
        <v>124469</v>
      </c>
      <c r="BB5">
        <v>885</v>
      </c>
      <c r="BC5">
        <v>37175</v>
      </c>
      <c r="BD5">
        <v>4366</v>
      </c>
      <c r="BE5">
        <v>44578</v>
      </c>
      <c r="BF5" s="5">
        <f>AY5+BB5+BD5</f>
        <v>18182</v>
      </c>
      <c r="BG5" s="5">
        <f>AZ5+BC5+BE5</f>
        <v>206222</v>
      </c>
      <c r="BH5" s="10">
        <f>BG5/BF5</f>
        <v>11.342096579034211</v>
      </c>
      <c r="BI5" s="10"/>
      <c r="BO5" s="3">
        <v>4204</v>
      </c>
      <c r="BP5" s="3">
        <v>137148</v>
      </c>
      <c r="BX5" s="3">
        <v>5534</v>
      </c>
      <c r="BY5" s="3">
        <v>162414</v>
      </c>
      <c r="CA5">
        <v>167</v>
      </c>
      <c r="CB5">
        <v>10676</v>
      </c>
      <c r="CC5">
        <v>2250</v>
      </c>
      <c r="CD5">
        <v>26989</v>
      </c>
      <c r="CE5" s="5">
        <f>BO5+BX5+CA5+CC5</f>
        <v>12155</v>
      </c>
      <c r="CF5" s="5">
        <f>BP5+BY5+CB5+CD5</f>
        <v>337227</v>
      </c>
      <c r="CG5" s="10">
        <f>CF5/CE5</f>
        <v>27.743891402714933</v>
      </c>
      <c r="CH5" s="10"/>
      <c r="CN5" s="3">
        <v>5578</v>
      </c>
      <c r="CO5" s="3">
        <v>55987</v>
      </c>
      <c r="DV5" s="3">
        <v>80564</v>
      </c>
      <c r="DW5" s="3">
        <v>1351313</v>
      </c>
      <c r="EK5" s="3">
        <v>9813</v>
      </c>
      <c r="EL5" s="3">
        <v>525178</v>
      </c>
      <c r="EM5" s="5">
        <f>CN5+DV5+EK5</f>
        <v>95955</v>
      </c>
      <c r="EN5" s="5">
        <f>CO5+DW5+EL5</f>
        <v>1932478</v>
      </c>
      <c r="EO5" s="10">
        <f>EN5/EM5</f>
        <v>20.139419519566463</v>
      </c>
      <c r="ER5">
        <v>1776</v>
      </c>
      <c r="ES5">
        <v>56613</v>
      </c>
      <c r="EY5" s="3">
        <v>5999</v>
      </c>
      <c r="EZ5" s="3">
        <v>150690</v>
      </c>
      <c r="FH5" s="3">
        <v>29843</v>
      </c>
      <c r="FI5" s="3">
        <v>252986</v>
      </c>
      <c r="FQ5" s="3">
        <v>7252</v>
      </c>
      <c r="FR5" s="3">
        <v>278837</v>
      </c>
      <c r="GB5" s="3">
        <v>4871</v>
      </c>
      <c r="GC5" s="3">
        <v>61120</v>
      </c>
      <c r="GS5" s="3">
        <v>65226</v>
      </c>
      <c r="GT5" s="3">
        <v>361578</v>
      </c>
      <c r="GU5" s="5">
        <f>ER5+EY5+FH5+FQ5+GB5+GS5</f>
        <v>114967</v>
      </c>
      <c r="GV5" s="5">
        <f>ES5+EZ5+FI5+FR5+GC5+GT5</f>
        <v>1161824</v>
      </c>
      <c r="GW5" s="10">
        <f>GV5/GU5</f>
        <v>10.105717292788365</v>
      </c>
      <c r="HP5" s="3">
        <v>98782</v>
      </c>
      <c r="HQ5" s="3">
        <v>565005</v>
      </c>
      <c r="ID5" s="3">
        <v>14499</v>
      </c>
      <c r="IE5" s="3">
        <v>110655</v>
      </c>
      <c r="IF5" s="3"/>
      <c r="IK5" s="3">
        <v>3083</v>
      </c>
      <c r="IL5" s="3">
        <v>73228</v>
      </c>
      <c r="IN5">
        <v>453</v>
      </c>
      <c r="IO5">
        <v>8777</v>
      </c>
      <c r="JF5" s="3">
        <v>58493</v>
      </c>
      <c r="JG5" s="3">
        <v>380406</v>
      </c>
      <c r="JI5" s="5">
        <f>HP5+ID5+IK5+IN5+JF5</f>
        <v>175310</v>
      </c>
      <c r="JJ5" s="5">
        <f>HQ5+IE5+IL5+IO5+JG5</f>
        <v>1138071</v>
      </c>
      <c r="JK5" s="10">
        <f>JJ5/JI5</f>
        <v>6.4917631623980379</v>
      </c>
      <c r="KF5" s="3">
        <v>15755</v>
      </c>
      <c r="KG5" s="3">
        <v>201555</v>
      </c>
      <c r="KP5" s="3">
        <v>1922</v>
      </c>
      <c r="KQ5" s="3">
        <v>52918</v>
      </c>
      <c r="KS5" s="5">
        <f>KF5+KP5</f>
        <v>17677</v>
      </c>
      <c r="KT5" s="5">
        <f>KG5+KQ5</f>
        <v>254473</v>
      </c>
      <c r="KU5" s="10">
        <f>KT5/KS5</f>
        <v>14.395711942071619</v>
      </c>
      <c r="KW5" s="5">
        <f>P5+AP5+BF5+CE5+EM5+GU5+JI5+KS5</f>
        <v>518974</v>
      </c>
      <c r="KX5" s="5">
        <f>Q5+AQ5+BG5+CF5+EN5+GV5+JJ5+KT5</f>
        <v>5877714</v>
      </c>
      <c r="KY5" s="10">
        <f>KX5/KW5</f>
        <v>11.32564251773692</v>
      </c>
      <c r="LA5" s="1" t="s">
        <v>281</v>
      </c>
      <c r="LB5">
        <f>35019058-1064922-579989</f>
        <v>33374147</v>
      </c>
      <c r="LD5" s="11">
        <f>KW5/LB5*1000</f>
        <v>15.550180203856597</v>
      </c>
      <c r="LE5" s="11">
        <f>KX5/LB5*1000</f>
        <v>176.11578207526921</v>
      </c>
    </row>
    <row r="6" spans="1:317" ht="15.75" x14ac:dyDescent="0.25">
      <c r="A6" s="22" t="s">
        <v>360</v>
      </c>
      <c r="B6" s="24" t="s">
        <v>282</v>
      </c>
      <c r="C6" s="1"/>
      <c r="D6" s="1"/>
      <c r="N6" s="3"/>
      <c r="O6" s="3"/>
      <c r="P6" s="5"/>
      <c r="Q6" s="5"/>
      <c r="R6" s="5"/>
      <c r="AA6" s="3"/>
      <c r="AB6" s="3"/>
      <c r="AM6" s="3"/>
      <c r="AN6" s="3"/>
      <c r="AP6" s="5"/>
      <c r="AQ6" s="5"/>
      <c r="AR6" s="6"/>
      <c r="AY6" s="3"/>
      <c r="AZ6" s="3"/>
      <c r="BF6" s="5"/>
      <c r="BG6" s="5"/>
      <c r="BH6" s="5"/>
      <c r="BI6" s="5"/>
      <c r="BO6" s="3"/>
      <c r="BP6" s="3"/>
      <c r="BX6" s="3"/>
      <c r="BY6" s="3"/>
      <c r="CE6" s="5"/>
      <c r="CF6" s="5"/>
      <c r="CG6" s="5"/>
      <c r="CH6" s="5"/>
      <c r="CN6" s="3"/>
      <c r="CO6" s="3"/>
      <c r="DV6" s="3"/>
      <c r="DW6" s="3"/>
      <c r="EK6" s="3"/>
      <c r="EL6" s="3"/>
      <c r="EM6" s="5"/>
      <c r="EN6" s="5"/>
      <c r="EO6" s="10"/>
      <c r="EY6" s="3"/>
      <c r="EZ6" s="3"/>
      <c r="FH6" s="3"/>
      <c r="FI6" s="3"/>
      <c r="FQ6" s="3"/>
      <c r="FR6" s="3"/>
      <c r="GB6" s="3"/>
      <c r="GC6" s="3"/>
      <c r="GS6" s="3"/>
      <c r="GT6" s="3"/>
      <c r="GU6" s="5"/>
      <c r="GV6" s="5"/>
      <c r="GW6" s="10"/>
      <c r="HP6" s="3"/>
      <c r="HQ6" s="3"/>
      <c r="ID6" s="3"/>
      <c r="IE6" s="3"/>
      <c r="IF6" s="3"/>
      <c r="IK6" s="3"/>
      <c r="IL6" s="3"/>
      <c r="JF6" s="3"/>
      <c r="JG6" s="3"/>
      <c r="JI6" s="5"/>
      <c r="JJ6" s="5"/>
      <c r="KF6" s="3"/>
      <c r="KG6" s="3"/>
      <c r="KP6" s="3"/>
      <c r="KQ6" s="3"/>
      <c r="KS6" s="5"/>
      <c r="KT6" s="5"/>
      <c r="KU6" s="5"/>
      <c r="KW6" s="5"/>
      <c r="KX6" s="5"/>
      <c r="KY6" s="5"/>
      <c r="LA6" s="1" t="s">
        <v>282</v>
      </c>
      <c r="LD6" s="11"/>
      <c r="LE6" s="11"/>
    </row>
    <row r="7" spans="1:317" ht="15.75" x14ac:dyDescent="0.25">
      <c r="A7" s="22" t="s">
        <v>359</v>
      </c>
      <c r="B7" s="24" t="s">
        <v>283</v>
      </c>
      <c r="C7" s="1"/>
      <c r="D7" s="1"/>
      <c r="E7">
        <v>206</v>
      </c>
      <c r="F7">
        <v>21894</v>
      </c>
      <c r="G7">
        <v>1321</v>
      </c>
      <c r="H7">
        <v>27967</v>
      </c>
      <c r="N7" s="3">
        <v>1203</v>
      </c>
      <c r="O7" s="3">
        <v>13064</v>
      </c>
      <c r="P7" s="5">
        <f t="shared" ref="P7:P21" si="0">E7+G7+N7</f>
        <v>2730</v>
      </c>
      <c r="Q7" s="5">
        <f t="shared" ref="Q7:Q21" si="1">F7+H7+O7</f>
        <v>62925</v>
      </c>
      <c r="R7" s="10">
        <f t="shared" ref="R7:R22" si="2">Q7/P7</f>
        <v>23.049450549450551</v>
      </c>
      <c r="AA7" s="3">
        <v>5059</v>
      </c>
      <c r="AB7" s="3">
        <v>92494</v>
      </c>
      <c r="AD7">
        <v>128</v>
      </c>
      <c r="AE7">
        <v>4204</v>
      </c>
      <c r="AF7">
        <v>690</v>
      </c>
      <c r="AG7">
        <v>26141</v>
      </c>
      <c r="AM7" s="3">
        <v>1186</v>
      </c>
      <c r="AN7" s="3">
        <v>47260</v>
      </c>
      <c r="AP7" s="5">
        <f t="shared" ref="AP7:AP22" si="3">AA7+AD7+AF7+AM7</f>
        <v>7063</v>
      </c>
      <c r="AQ7" s="5">
        <f t="shared" ref="AQ7:AQ22" si="4">AB7+AE7+AG7+AN7</f>
        <v>170099</v>
      </c>
      <c r="AR7" s="10">
        <f t="shared" ref="AR7:AR22" si="5">AQ7/AP7</f>
        <v>24.083109160413422</v>
      </c>
      <c r="AY7" s="3">
        <v>1009</v>
      </c>
      <c r="AZ7" s="3">
        <v>31108</v>
      </c>
      <c r="BB7">
        <v>86</v>
      </c>
      <c r="BC7">
        <v>3471</v>
      </c>
      <c r="BD7">
        <v>569</v>
      </c>
      <c r="BE7">
        <v>11734</v>
      </c>
      <c r="BF7" s="5">
        <f t="shared" ref="BF7:BF22" si="6">AY7+BB7+BD7</f>
        <v>1664</v>
      </c>
      <c r="BG7" s="5">
        <f t="shared" ref="BG7:BG22" si="7">AZ7+BC7+BE7</f>
        <v>46313</v>
      </c>
      <c r="BH7" s="10">
        <f t="shared" ref="BH7:BH22" si="8">BG7/BF7</f>
        <v>27.83233173076923</v>
      </c>
      <c r="BI7" s="10"/>
      <c r="BO7" s="3">
        <v>618</v>
      </c>
      <c r="BP7" s="3">
        <v>27579</v>
      </c>
      <c r="BX7" s="3">
        <v>364</v>
      </c>
      <c r="BY7" s="3">
        <v>76659</v>
      </c>
      <c r="CA7">
        <v>76</v>
      </c>
      <c r="CB7">
        <v>2292</v>
      </c>
      <c r="CC7">
        <v>459</v>
      </c>
      <c r="CD7">
        <v>11139</v>
      </c>
      <c r="CE7" s="5">
        <f t="shared" ref="CE7:CE22" si="9">BO7+BX7+CA7+CC7</f>
        <v>1517</v>
      </c>
      <c r="CF7" s="5">
        <f t="shared" ref="CF7:CF22" si="10">BP7+BY7+CB7+CD7</f>
        <v>117669</v>
      </c>
      <c r="CG7" s="10">
        <f t="shared" ref="CG7:CG22" si="11">CF7/CE7</f>
        <v>77.566908371786425</v>
      </c>
      <c r="CH7" s="10"/>
      <c r="CN7" s="3">
        <v>716</v>
      </c>
      <c r="CO7" s="3">
        <v>21617</v>
      </c>
      <c r="DV7" s="3">
        <v>5524</v>
      </c>
      <c r="DW7" s="3">
        <v>234693</v>
      </c>
      <c r="EK7" s="3">
        <v>607</v>
      </c>
      <c r="EL7" s="3">
        <v>91740</v>
      </c>
      <c r="EM7" s="5">
        <f t="shared" ref="EM7:EM22" si="12">CN7+DV7+EK7</f>
        <v>6847</v>
      </c>
      <c r="EN7" s="5">
        <f t="shared" ref="EN7:EN22" si="13">CO7+DW7+EL7</f>
        <v>348050</v>
      </c>
      <c r="EO7" s="10">
        <f t="shared" ref="EO7:EO22" si="14">EN7/EM7</f>
        <v>50.832481378705999</v>
      </c>
      <c r="ER7">
        <v>320</v>
      </c>
      <c r="ES7">
        <v>25882</v>
      </c>
      <c r="EY7" s="3">
        <v>142</v>
      </c>
      <c r="EZ7" s="3">
        <v>4651</v>
      </c>
      <c r="FH7" s="3">
        <v>2426</v>
      </c>
      <c r="FI7" s="3">
        <v>44812</v>
      </c>
      <c r="FQ7" s="3">
        <v>931</v>
      </c>
      <c r="FR7" s="3">
        <v>102243</v>
      </c>
      <c r="GB7" s="3">
        <v>1155</v>
      </c>
      <c r="GC7" s="3">
        <v>30384</v>
      </c>
      <c r="GS7" s="3">
        <v>9682</v>
      </c>
      <c r="GT7" s="3">
        <v>114827</v>
      </c>
      <c r="GU7" s="5">
        <f t="shared" ref="GU7:GU22" si="15">ER7+EY7+FH7+FQ7+GB7+GS7</f>
        <v>14656</v>
      </c>
      <c r="GV7" s="5">
        <f t="shared" ref="GV7:GV22" si="16">ES7+EZ7+FI7+FR7+GC7+GT7</f>
        <v>322799</v>
      </c>
      <c r="GW7" s="10">
        <f t="shared" ref="GW7:GW22" si="17">GV7/GU7</f>
        <v>22.025040938864628</v>
      </c>
      <c r="HP7" s="3">
        <v>10665</v>
      </c>
      <c r="HQ7" s="3">
        <v>126931</v>
      </c>
      <c r="ID7" s="3">
        <v>1383</v>
      </c>
      <c r="IE7" s="3">
        <v>29065</v>
      </c>
      <c r="IF7" s="3"/>
      <c r="IK7" s="3">
        <v>638</v>
      </c>
      <c r="IL7" s="3">
        <v>29875</v>
      </c>
      <c r="IN7">
        <v>182</v>
      </c>
      <c r="IO7">
        <v>6292</v>
      </c>
      <c r="JF7" s="3">
        <v>7852</v>
      </c>
      <c r="JG7" s="3">
        <v>116182</v>
      </c>
      <c r="JI7" s="5">
        <f t="shared" ref="JI7:JI22" si="18">HP7+ID7+IK7+IN7+JF7</f>
        <v>20720</v>
      </c>
      <c r="JJ7" s="5">
        <f t="shared" ref="JJ7:JJ22" si="19">HQ7+IE7+IL7+IO7+JG7</f>
        <v>308345</v>
      </c>
      <c r="JK7" s="10">
        <f t="shared" ref="JK7:JK22" si="20">JJ7/JI7</f>
        <v>14.881515444015443</v>
      </c>
      <c r="KF7" s="3">
        <v>2246</v>
      </c>
      <c r="KG7" s="3">
        <v>65774</v>
      </c>
      <c r="KP7" s="3">
        <v>599</v>
      </c>
      <c r="KQ7" s="3">
        <v>23388</v>
      </c>
      <c r="KS7" s="5">
        <f t="shared" ref="KS7:KS22" si="21">KF7+KP7</f>
        <v>2845</v>
      </c>
      <c r="KT7" s="5">
        <f t="shared" ref="KT7:KT22" si="22">KG7+KQ7</f>
        <v>89162</v>
      </c>
      <c r="KU7" s="10">
        <f t="shared" ref="KU7:KU22" si="23">KT7/KS7</f>
        <v>31.339894551845344</v>
      </c>
      <c r="KW7" s="5">
        <f t="shared" ref="KW7:KW22" si="24">P7+AP7+BF7+CE7+EM7+GU7+JI7+KS7</f>
        <v>58042</v>
      </c>
      <c r="KX7" s="5">
        <f t="shared" ref="KX7:KX22" si="25">Q7+AQ7+BG7+CF7+EN7+GV7+JJ7+KT7</f>
        <v>1465362</v>
      </c>
      <c r="KY7" s="10">
        <f t="shared" ref="KY7:KY22" si="26">KX7/KW7</f>
        <v>25.246580062713207</v>
      </c>
      <c r="LA7" s="1" t="s">
        <v>283</v>
      </c>
      <c r="LB7">
        <v>1681697</v>
      </c>
      <c r="LD7" s="11">
        <f t="shared" ref="LD7:LD22" si="27">KW7/LB7*1000</f>
        <v>34.51394632921388</v>
      </c>
      <c r="LE7" s="11">
        <f t="shared" ref="LE7:LE22" si="28">KX7/LB7*1000</f>
        <v>871.35910928068495</v>
      </c>
    </row>
    <row r="8" spans="1:317" ht="15.75" x14ac:dyDescent="0.25">
      <c r="A8" s="22" t="s">
        <v>361</v>
      </c>
      <c r="B8" s="24" t="s">
        <v>284</v>
      </c>
      <c r="C8" s="1"/>
      <c r="D8" s="1"/>
      <c r="E8">
        <v>45</v>
      </c>
      <c r="F8">
        <v>384</v>
      </c>
      <c r="G8">
        <v>307</v>
      </c>
      <c r="H8">
        <v>1933</v>
      </c>
      <c r="N8" s="3">
        <v>825</v>
      </c>
      <c r="O8" s="3">
        <v>4845</v>
      </c>
      <c r="P8" s="5">
        <f t="shared" si="0"/>
        <v>1177</v>
      </c>
      <c r="Q8" s="5">
        <f t="shared" si="1"/>
        <v>7162</v>
      </c>
      <c r="R8" s="10">
        <f t="shared" si="2"/>
        <v>6.0849617672047582</v>
      </c>
      <c r="AA8" s="3">
        <v>2884</v>
      </c>
      <c r="AB8" s="3">
        <v>36910</v>
      </c>
      <c r="AD8">
        <v>111</v>
      </c>
      <c r="AE8">
        <v>1298</v>
      </c>
      <c r="AF8">
        <v>78</v>
      </c>
      <c r="AG8">
        <v>937</v>
      </c>
      <c r="AM8" s="3">
        <v>182</v>
      </c>
      <c r="AN8" s="3">
        <v>2932</v>
      </c>
      <c r="AP8" s="5">
        <f t="shared" si="3"/>
        <v>3255</v>
      </c>
      <c r="AQ8" s="5">
        <f t="shared" si="4"/>
        <v>42077</v>
      </c>
      <c r="AR8" s="10">
        <f t="shared" si="5"/>
        <v>12.926881720430108</v>
      </c>
      <c r="AY8" s="3">
        <v>423</v>
      </c>
      <c r="AZ8" s="3">
        <v>3292</v>
      </c>
      <c r="BB8">
        <v>2</v>
      </c>
      <c r="BC8">
        <v>311</v>
      </c>
      <c r="BD8">
        <v>315</v>
      </c>
      <c r="BE8">
        <v>3133</v>
      </c>
      <c r="BF8" s="5">
        <f t="shared" si="6"/>
        <v>740</v>
      </c>
      <c r="BG8" s="5">
        <f t="shared" si="7"/>
        <v>6736</v>
      </c>
      <c r="BH8" s="10">
        <f t="shared" si="8"/>
        <v>9.1027027027027021</v>
      </c>
      <c r="BI8" s="10"/>
      <c r="BO8" s="3">
        <v>308</v>
      </c>
      <c r="BP8" s="3">
        <v>4447</v>
      </c>
      <c r="BX8" s="3">
        <v>369</v>
      </c>
      <c r="BY8" s="3">
        <v>3420</v>
      </c>
      <c r="CA8">
        <v>3</v>
      </c>
      <c r="CB8">
        <v>159</v>
      </c>
      <c r="CC8">
        <v>135</v>
      </c>
      <c r="CD8">
        <v>1446</v>
      </c>
      <c r="CE8" s="5">
        <f t="shared" si="9"/>
        <v>815</v>
      </c>
      <c r="CF8" s="5">
        <f t="shared" si="10"/>
        <v>9472</v>
      </c>
      <c r="CG8" s="10">
        <f t="shared" si="11"/>
        <v>11.622085889570553</v>
      </c>
      <c r="CH8" s="10"/>
      <c r="CN8" s="3">
        <v>42</v>
      </c>
      <c r="CO8" s="3">
        <v>436</v>
      </c>
      <c r="DV8" s="3">
        <v>4137</v>
      </c>
      <c r="DW8" s="3">
        <v>58861</v>
      </c>
      <c r="EK8" s="3">
        <v>443</v>
      </c>
      <c r="EL8" s="3">
        <v>21955</v>
      </c>
      <c r="EM8" s="5">
        <f t="shared" si="12"/>
        <v>4622</v>
      </c>
      <c r="EN8" s="5">
        <f t="shared" si="13"/>
        <v>81252</v>
      </c>
      <c r="EO8" s="10">
        <f t="shared" si="14"/>
        <v>17.579402855906533</v>
      </c>
      <c r="ER8">
        <v>6</v>
      </c>
      <c r="ES8">
        <v>175</v>
      </c>
      <c r="EY8" s="3">
        <v>64</v>
      </c>
      <c r="EZ8" s="3">
        <v>1962</v>
      </c>
      <c r="FH8" s="3">
        <v>1881</v>
      </c>
      <c r="FI8" s="3">
        <v>9954</v>
      </c>
      <c r="FQ8" s="3">
        <v>741</v>
      </c>
      <c r="FR8" s="3">
        <v>12373</v>
      </c>
      <c r="GB8" s="3">
        <v>151</v>
      </c>
      <c r="GC8" s="3">
        <v>1169</v>
      </c>
      <c r="GS8" s="3">
        <v>3047</v>
      </c>
      <c r="GT8" s="3">
        <v>13595</v>
      </c>
      <c r="GU8" s="5">
        <f t="shared" si="15"/>
        <v>5890</v>
      </c>
      <c r="GV8" s="5">
        <f t="shared" si="16"/>
        <v>39228</v>
      </c>
      <c r="GW8" s="10">
        <f t="shared" si="17"/>
        <v>6.6601018675721564</v>
      </c>
      <c r="HP8" s="3">
        <v>4703</v>
      </c>
      <c r="HQ8" s="3">
        <v>27012</v>
      </c>
      <c r="ID8" s="3">
        <v>333</v>
      </c>
      <c r="IE8" s="3">
        <v>3178</v>
      </c>
      <c r="IF8" s="3"/>
      <c r="IK8" s="3">
        <v>131</v>
      </c>
      <c r="IL8" s="3">
        <v>2552</v>
      </c>
      <c r="IN8">
        <v>7</v>
      </c>
      <c r="IO8">
        <v>85</v>
      </c>
      <c r="JF8" s="3">
        <v>3547</v>
      </c>
      <c r="JG8" s="3">
        <v>20184</v>
      </c>
      <c r="JI8" s="5">
        <f t="shared" si="18"/>
        <v>8721</v>
      </c>
      <c r="JJ8" s="5">
        <f t="shared" si="19"/>
        <v>53011</v>
      </c>
      <c r="JK8" s="10">
        <f t="shared" si="20"/>
        <v>6.0785460382983603</v>
      </c>
      <c r="KF8" s="3">
        <v>495</v>
      </c>
      <c r="KG8" s="3">
        <v>6200</v>
      </c>
      <c r="KP8" s="3">
        <v>70</v>
      </c>
      <c r="KQ8" s="3">
        <v>1313</v>
      </c>
      <c r="KS8" s="5">
        <f t="shared" si="21"/>
        <v>565</v>
      </c>
      <c r="KT8" s="5">
        <f t="shared" si="22"/>
        <v>7513</v>
      </c>
      <c r="KU8" s="10">
        <f t="shared" si="23"/>
        <v>13.297345132743363</v>
      </c>
      <c r="KW8" s="5">
        <f t="shared" si="24"/>
        <v>25785</v>
      </c>
      <c r="KX8" s="5">
        <f t="shared" si="25"/>
        <v>246451</v>
      </c>
      <c r="KY8" s="10">
        <f t="shared" si="26"/>
        <v>9.5579212720573974</v>
      </c>
      <c r="LA8" s="1" t="s">
        <v>284</v>
      </c>
      <c r="LB8">
        <v>707450</v>
      </c>
      <c r="LD8" s="11">
        <f t="shared" si="27"/>
        <v>36.447805498621811</v>
      </c>
      <c r="LE8" s="11">
        <f t="shared" si="28"/>
        <v>348.36525549508804</v>
      </c>
    </row>
    <row r="9" spans="1:317" ht="15.75" x14ac:dyDescent="0.25">
      <c r="A9" s="22" t="s">
        <v>362</v>
      </c>
      <c r="B9" s="24" t="s">
        <v>285</v>
      </c>
      <c r="C9" s="1"/>
      <c r="D9" s="1"/>
      <c r="E9">
        <v>18</v>
      </c>
      <c r="F9">
        <v>71</v>
      </c>
      <c r="G9">
        <v>86</v>
      </c>
      <c r="H9">
        <v>655</v>
      </c>
      <c r="N9" s="3">
        <v>146</v>
      </c>
      <c r="O9" s="3">
        <v>756</v>
      </c>
      <c r="P9" s="5">
        <f t="shared" si="0"/>
        <v>250</v>
      </c>
      <c r="Q9" s="5">
        <f t="shared" si="1"/>
        <v>1482</v>
      </c>
      <c r="R9" s="10">
        <f t="shared" si="2"/>
        <v>5.9279999999999999</v>
      </c>
      <c r="AA9" s="3">
        <v>465</v>
      </c>
      <c r="AB9" s="3">
        <v>5188</v>
      </c>
      <c r="AD9">
        <v>30</v>
      </c>
      <c r="AE9">
        <v>370</v>
      </c>
      <c r="AF9">
        <v>21</v>
      </c>
      <c r="AG9">
        <v>327</v>
      </c>
      <c r="AM9" s="3">
        <v>55</v>
      </c>
      <c r="AN9" s="3">
        <v>535</v>
      </c>
      <c r="AP9" s="5">
        <f t="shared" si="3"/>
        <v>571</v>
      </c>
      <c r="AQ9" s="5">
        <f t="shared" si="4"/>
        <v>6420</v>
      </c>
      <c r="AR9" s="10">
        <f t="shared" si="5"/>
        <v>11.243432574430823</v>
      </c>
      <c r="AY9" s="3">
        <v>49</v>
      </c>
      <c r="AZ9" s="3">
        <v>697</v>
      </c>
      <c r="BB9">
        <v>2</v>
      </c>
      <c r="BC9">
        <v>157</v>
      </c>
      <c r="BD9">
        <v>121</v>
      </c>
      <c r="BE9">
        <v>811</v>
      </c>
      <c r="BF9" s="5">
        <f t="shared" si="6"/>
        <v>172</v>
      </c>
      <c r="BG9" s="5">
        <f t="shared" si="7"/>
        <v>1665</v>
      </c>
      <c r="BH9" s="10">
        <f t="shared" si="8"/>
        <v>9.6802325581395348</v>
      </c>
      <c r="BI9" s="10"/>
      <c r="BO9" s="3">
        <v>86</v>
      </c>
      <c r="BP9" s="3">
        <v>1770</v>
      </c>
      <c r="BX9" s="3">
        <v>19</v>
      </c>
      <c r="BY9" s="3">
        <v>1247</v>
      </c>
      <c r="CA9">
        <v>2</v>
      </c>
      <c r="CB9">
        <v>21</v>
      </c>
      <c r="CC9">
        <v>18</v>
      </c>
      <c r="CD9">
        <v>111</v>
      </c>
      <c r="CE9" s="5">
        <f t="shared" si="9"/>
        <v>125</v>
      </c>
      <c r="CF9" s="5">
        <f t="shared" si="10"/>
        <v>3149</v>
      </c>
      <c r="CG9" s="10">
        <f t="shared" si="11"/>
        <v>25.192</v>
      </c>
      <c r="CH9" s="10"/>
      <c r="CN9" s="3">
        <v>44</v>
      </c>
      <c r="CO9" s="3">
        <v>430</v>
      </c>
      <c r="DV9" s="3">
        <v>830</v>
      </c>
      <c r="DW9" s="3">
        <v>10077</v>
      </c>
      <c r="EK9" s="3">
        <v>161</v>
      </c>
      <c r="EL9" s="3">
        <v>11492</v>
      </c>
      <c r="EM9" s="5">
        <f t="shared" si="12"/>
        <v>1035</v>
      </c>
      <c r="EN9" s="5">
        <f t="shared" si="13"/>
        <v>21999</v>
      </c>
      <c r="EO9" s="10">
        <f t="shared" si="14"/>
        <v>21.255072463768116</v>
      </c>
      <c r="EY9" s="3">
        <v>30</v>
      </c>
      <c r="EZ9" s="3">
        <v>233</v>
      </c>
      <c r="FH9" s="3">
        <v>409</v>
      </c>
      <c r="FI9" s="3">
        <v>1471</v>
      </c>
      <c r="FQ9" s="3">
        <v>31</v>
      </c>
      <c r="FR9" s="3">
        <v>362</v>
      </c>
      <c r="GB9" s="3">
        <v>36</v>
      </c>
      <c r="GC9" s="3">
        <v>329</v>
      </c>
      <c r="GS9" s="3">
        <v>512</v>
      </c>
      <c r="GT9" s="3">
        <v>2458</v>
      </c>
      <c r="GU9" s="5">
        <f t="shared" si="15"/>
        <v>1018</v>
      </c>
      <c r="GV9" s="5">
        <f t="shared" si="16"/>
        <v>4853</v>
      </c>
      <c r="GW9" s="10">
        <f t="shared" si="17"/>
        <v>4.7671905697445975</v>
      </c>
      <c r="HP9" s="3">
        <v>726</v>
      </c>
      <c r="HQ9" s="3">
        <v>4556</v>
      </c>
      <c r="ID9" s="3">
        <v>55</v>
      </c>
      <c r="IE9" s="3">
        <v>552</v>
      </c>
      <c r="IF9" s="3"/>
      <c r="IK9" s="3">
        <v>29</v>
      </c>
      <c r="IL9" s="3">
        <v>464</v>
      </c>
      <c r="IN9">
        <v>5</v>
      </c>
      <c r="IO9">
        <v>20</v>
      </c>
      <c r="JF9" s="3">
        <v>578</v>
      </c>
      <c r="JG9" s="3">
        <v>2877</v>
      </c>
      <c r="JI9" s="5">
        <f t="shared" si="18"/>
        <v>1393</v>
      </c>
      <c r="JJ9" s="5">
        <f t="shared" si="19"/>
        <v>8469</v>
      </c>
      <c r="JK9" s="10">
        <f t="shared" si="20"/>
        <v>6.0796841349605169</v>
      </c>
      <c r="KF9" s="3">
        <v>136</v>
      </c>
      <c r="KG9" s="3">
        <v>1635</v>
      </c>
      <c r="KP9" s="3">
        <v>29</v>
      </c>
      <c r="KQ9" s="3">
        <v>451</v>
      </c>
      <c r="KS9" s="5">
        <f t="shared" si="21"/>
        <v>165</v>
      </c>
      <c r="KT9" s="5">
        <f t="shared" si="22"/>
        <v>2086</v>
      </c>
      <c r="KU9" s="10">
        <f t="shared" si="23"/>
        <v>12.642424242424243</v>
      </c>
      <c r="KW9" s="5">
        <f t="shared" si="24"/>
        <v>4729</v>
      </c>
      <c r="KX9" s="5">
        <f t="shared" si="25"/>
        <v>50123</v>
      </c>
      <c r="KY9" s="10">
        <f t="shared" si="26"/>
        <v>10.59906957073377</v>
      </c>
      <c r="LA9" s="1" t="s">
        <v>285</v>
      </c>
      <c r="LB9">
        <v>146769</v>
      </c>
      <c r="LD9" s="11">
        <f t="shared" si="27"/>
        <v>32.220700556657057</v>
      </c>
      <c r="LE9" s="11">
        <f t="shared" si="28"/>
        <v>341.5094468177885</v>
      </c>
    </row>
    <row r="10" spans="1:317" ht="15.75" x14ac:dyDescent="0.25">
      <c r="A10" s="22" t="s">
        <v>363</v>
      </c>
      <c r="B10" s="24" t="s">
        <v>286</v>
      </c>
      <c r="C10" s="1"/>
      <c r="D10" s="1"/>
      <c r="E10">
        <v>35</v>
      </c>
      <c r="F10">
        <v>267</v>
      </c>
      <c r="G10">
        <v>306</v>
      </c>
      <c r="H10">
        <v>2449</v>
      </c>
      <c r="N10" s="3">
        <v>676</v>
      </c>
      <c r="O10" s="3">
        <v>3333</v>
      </c>
      <c r="P10" s="5">
        <f t="shared" si="0"/>
        <v>1017</v>
      </c>
      <c r="Q10" s="5">
        <f t="shared" si="1"/>
        <v>6049</v>
      </c>
      <c r="R10" s="10">
        <f t="shared" si="2"/>
        <v>5.9478859390363814</v>
      </c>
      <c r="AA10" s="3">
        <v>2711</v>
      </c>
      <c r="AB10" s="3">
        <v>51499</v>
      </c>
      <c r="AD10">
        <v>64</v>
      </c>
      <c r="AE10">
        <v>878</v>
      </c>
      <c r="AF10">
        <v>51</v>
      </c>
      <c r="AG10">
        <v>1131</v>
      </c>
      <c r="AM10" s="3">
        <v>149</v>
      </c>
      <c r="AN10" s="3">
        <v>2035</v>
      </c>
      <c r="AP10" s="5">
        <f t="shared" si="3"/>
        <v>2975</v>
      </c>
      <c r="AQ10" s="5">
        <f t="shared" si="4"/>
        <v>55543</v>
      </c>
      <c r="AR10" s="10">
        <f t="shared" si="5"/>
        <v>18.669915966386554</v>
      </c>
      <c r="AY10" s="3">
        <v>801</v>
      </c>
      <c r="AZ10" s="3">
        <v>5841</v>
      </c>
      <c r="BB10">
        <v>15</v>
      </c>
      <c r="BC10">
        <v>2183</v>
      </c>
      <c r="BD10">
        <v>108</v>
      </c>
      <c r="BE10">
        <v>1278</v>
      </c>
      <c r="BF10" s="5">
        <f t="shared" si="6"/>
        <v>924</v>
      </c>
      <c r="BG10" s="5">
        <f t="shared" si="7"/>
        <v>9302</v>
      </c>
      <c r="BH10" s="10">
        <f t="shared" si="8"/>
        <v>10.067099567099566</v>
      </c>
      <c r="BI10" s="10"/>
      <c r="BO10" s="3">
        <v>363</v>
      </c>
      <c r="BP10" s="3">
        <v>8197</v>
      </c>
      <c r="BX10" s="3">
        <v>122</v>
      </c>
      <c r="BY10" s="3">
        <v>2032</v>
      </c>
      <c r="CA10">
        <v>11</v>
      </c>
      <c r="CB10">
        <v>209</v>
      </c>
      <c r="CC10">
        <v>67</v>
      </c>
      <c r="CD10">
        <v>546</v>
      </c>
      <c r="CE10" s="5">
        <f t="shared" si="9"/>
        <v>563</v>
      </c>
      <c r="CF10" s="5">
        <f t="shared" si="10"/>
        <v>10984</v>
      </c>
      <c r="CG10" s="10">
        <f t="shared" si="11"/>
        <v>19.509769094138544</v>
      </c>
      <c r="CH10" s="10"/>
      <c r="CN10" s="3">
        <v>202</v>
      </c>
      <c r="CO10" s="3">
        <v>2604</v>
      </c>
      <c r="DV10" s="3">
        <v>4002</v>
      </c>
      <c r="DW10" s="3">
        <v>52096</v>
      </c>
      <c r="EK10" s="3">
        <v>276</v>
      </c>
      <c r="EL10" s="3">
        <v>11490</v>
      </c>
      <c r="EM10" s="5">
        <f t="shared" si="12"/>
        <v>4480</v>
      </c>
      <c r="EN10" s="5">
        <f t="shared" si="13"/>
        <v>66190</v>
      </c>
      <c r="EO10" s="10">
        <f t="shared" si="14"/>
        <v>14.774553571428571</v>
      </c>
      <c r="ER10">
        <v>1</v>
      </c>
      <c r="ES10">
        <v>21</v>
      </c>
      <c r="EY10" s="3">
        <v>120</v>
      </c>
      <c r="EZ10" s="3">
        <v>1028</v>
      </c>
      <c r="FH10" s="3">
        <v>1270</v>
      </c>
      <c r="FI10" s="3">
        <v>5353</v>
      </c>
      <c r="FQ10" s="3">
        <v>160</v>
      </c>
      <c r="FR10" s="3">
        <v>3007</v>
      </c>
      <c r="GB10" s="3">
        <v>95</v>
      </c>
      <c r="GC10" s="3">
        <v>979</v>
      </c>
      <c r="GS10" s="3">
        <v>2813</v>
      </c>
      <c r="GT10" s="3">
        <v>15715</v>
      </c>
      <c r="GU10" s="5">
        <f t="shared" si="15"/>
        <v>4459</v>
      </c>
      <c r="GV10" s="5">
        <f t="shared" si="16"/>
        <v>26103</v>
      </c>
      <c r="GW10" s="10">
        <f t="shared" si="17"/>
        <v>5.8540031397174257</v>
      </c>
      <c r="HP10" s="3">
        <v>4357</v>
      </c>
      <c r="HQ10" s="3">
        <v>29075</v>
      </c>
      <c r="ID10" s="3">
        <v>353</v>
      </c>
      <c r="IE10" s="3">
        <v>3467</v>
      </c>
      <c r="IF10" s="3"/>
      <c r="IK10" s="3">
        <v>125</v>
      </c>
      <c r="IL10" s="3">
        <v>2938</v>
      </c>
      <c r="IN10">
        <v>21</v>
      </c>
      <c r="IO10">
        <v>242</v>
      </c>
      <c r="JF10" s="3">
        <v>2499</v>
      </c>
      <c r="JG10" s="3">
        <v>15838</v>
      </c>
      <c r="JI10" s="5">
        <f t="shared" si="18"/>
        <v>7355</v>
      </c>
      <c r="JJ10" s="5">
        <f t="shared" si="19"/>
        <v>51560</v>
      </c>
      <c r="JK10" s="10">
        <f t="shared" si="20"/>
        <v>7.0101971447994558</v>
      </c>
      <c r="KF10" s="3">
        <v>397</v>
      </c>
      <c r="KG10" s="3">
        <v>4829</v>
      </c>
      <c r="KP10" s="3">
        <v>45</v>
      </c>
      <c r="KQ10" s="3">
        <v>1530</v>
      </c>
      <c r="KS10" s="5">
        <f t="shared" si="21"/>
        <v>442</v>
      </c>
      <c r="KT10" s="5">
        <f t="shared" si="22"/>
        <v>6359</v>
      </c>
      <c r="KU10" s="10">
        <f t="shared" si="23"/>
        <v>14.386877828054299</v>
      </c>
      <c r="KW10" s="5">
        <f t="shared" si="24"/>
        <v>22215</v>
      </c>
      <c r="KX10" s="5">
        <f t="shared" si="25"/>
        <v>232090</v>
      </c>
      <c r="KY10" s="10">
        <f t="shared" si="26"/>
        <v>10.447445419761422</v>
      </c>
      <c r="LA10" s="1" t="s">
        <v>286</v>
      </c>
      <c r="LB10">
        <v>1056773</v>
      </c>
      <c r="LD10" s="11">
        <f t="shared" si="27"/>
        <v>21.021543888801094</v>
      </c>
      <c r="LE10" s="11">
        <f t="shared" si="28"/>
        <v>219.62143241736874</v>
      </c>
    </row>
    <row r="11" spans="1:317" ht="15.75" x14ac:dyDescent="0.25">
      <c r="A11" s="22" t="s">
        <v>364</v>
      </c>
      <c r="B11" s="24" t="s">
        <v>287</v>
      </c>
      <c r="C11" s="1"/>
      <c r="D11" s="1"/>
      <c r="G11">
        <v>86</v>
      </c>
      <c r="H11">
        <v>471</v>
      </c>
      <c r="N11" s="3">
        <v>324</v>
      </c>
      <c r="O11" s="3">
        <v>1130</v>
      </c>
      <c r="P11" s="5">
        <f t="shared" si="0"/>
        <v>410</v>
      </c>
      <c r="Q11" s="5">
        <f t="shared" si="1"/>
        <v>1601</v>
      </c>
      <c r="R11" s="10">
        <f t="shared" si="2"/>
        <v>3.9048780487804877</v>
      </c>
      <c r="AA11" s="3">
        <v>1338</v>
      </c>
      <c r="AB11" s="3">
        <v>29637</v>
      </c>
      <c r="AD11">
        <v>39</v>
      </c>
      <c r="AE11">
        <v>721</v>
      </c>
      <c r="AF11">
        <v>12</v>
      </c>
      <c r="AG11">
        <v>227</v>
      </c>
      <c r="AM11" s="3">
        <v>50</v>
      </c>
      <c r="AN11" s="3">
        <v>447</v>
      </c>
      <c r="AP11" s="5">
        <f t="shared" si="3"/>
        <v>1439</v>
      </c>
      <c r="AQ11" s="5">
        <f t="shared" si="4"/>
        <v>31032</v>
      </c>
      <c r="AR11" s="10">
        <f t="shared" si="5"/>
        <v>21.564975677553857</v>
      </c>
      <c r="AY11" s="3">
        <v>186</v>
      </c>
      <c r="AZ11" s="3">
        <v>1171</v>
      </c>
      <c r="BB11">
        <v>2</v>
      </c>
      <c r="BC11">
        <v>140</v>
      </c>
      <c r="BD11">
        <v>12</v>
      </c>
      <c r="BE11">
        <v>261</v>
      </c>
      <c r="BF11" s="5">
        <f t="shared" si="6"/>
        <v>200</v>
      </c>
      <c r="BG11" s="5">
        <f t="shared" si="7"/>
        <v>1572</v>
      </c>
      <c r="BH11" s="10">
        <f t="shared" si="8"/>
        <v>7.86</v>
      </c>
      <c r="BI11" s="10"/>
      <c r="BO11" s="3">
        <v>79</v>
      </c>
      <c r="BP11" s="3">
        <v>2617</v>
      </c>
      <c r="BX11" s="3">
        <v>36</v>
      </c>
      <c r="BY11" s="3">
        <v>695</v>
      </c>
      <c r="CA11">
        <v>4</v>
      </c>
      <c r="CB11">
        <v>2641</v>
      </c>
      <c r="CC11">
        <v>20</v>
      </c>
      <c r="CD11">
        <v>83</v>
      </c>
      <c r="CE11" s="5">
        <f t="shared" si="9"/>
        <v>139</v>
      </c>
      <c r="CF11" s="5">
        <f t="shared" si="10"/>
        <v>6036</v>
      </c>
      <c r="CG11" s="10">
        <f t="shared" si="11"/>
        <v>43.424460431654673</v>
      </c>
      <c r="CH11" s="10"/>
      <c r="CN11" s="3">
        <v>27</v>
      </c>
      <c r="CO11" s="3">
        <v>252</v>
      </c>
      <c r="DV11" s="3">
        <v>1484</v>
      </c>
      <c r="DW11" s="3">
        <v>15501</v>
      </c>
      <c r="EK11" s="3">
        <v>295</v>
      </c>
      <c r="EL11" s="3">
        <v>6796</v>
      </c>
      <c r="EM11" s="5">
        <f t="shared" si="12"/>
        <v>1806</v>
      </c>
      <c r="EN11" s="5">
        <f t="shared" si="13"/>
        <v>22549</v>
      </c>
      <c r="EO11" s="10">
        <f t="shared" si="14"/>
        <v>12.485603543743078</v>
      </c>
      <c r="EY11" s="3">
        <v>15</v>
      </c>
      <c r="EZ11" s="3">
        <v>1365</v>
      </c>
      <c r="FH11" s="3">
        <v>630</v>
      </c>
      <c r="FI11" s="3">
        <v>2001</v>
      </c>
      <c r="FQ11" s="3">
        <v>59</v>
      </c>
      <c r="FR11" s="3">
        <v>823</v>
      </c>
      <c r="GB11" s="3">
        <v>21</v>
      </c>
      <c r="GC11" s="3">
        <v>148</v>
      </c>
      <c r="GS11" s="3">
        <v>955</v>
      </c>
      <c r="GT11" s="3">
        <v>3715</v>
      </c>
      <c r="GU11" s="5">
        <f t="shared" si="15"/>
        <v>1680</v>
      </c>
      <c r="GV11" s="5">
        <f t="shared" si="16"/>
        <v>8052</v>
      </c>
      <c r="GW11" s="10">
        <f t="shared" si="17"/>
        <v>4.7928571428571427</v>
      </c>
      <c r="HP11" s="3">
        <v>1665</v>
      </c>
      <c r="HQ11" s="3">
        <v>8160</v>
      </c>
      <c r="ID11" s="3">
        <v>144</v>
      </c>
      <c r="IE11" s="3">
        <v>1140</v>
      </c>
      <c r="IF11" s="3"/>
      <c r="IK11" s="3">
        <v>26</v>
      </c>
      <c r="IL11" s="3">
        <v>308</v>
      </c>
      <c r="IN11">
        <v>4</v>
      </c>
      <c r="IO11">
        <v>36</v>
      </c>
      <c r="JF11" s="3">
        <v>968</v>
      </c>
      <c r="JG11" s="3">
        <v>4538</v>
      </c>
      <c r="JI11" s="5">
        <f t="shared" si="18"/>
        <v>2807</v>
      </c>
      <c r="JJ11" s="5">
        <f t="shared" si="19"/>
        <v>14182</v>
      </c>
      <c r="JK11" s="10">
        <f t="shared" si="20"/>
        <v>5.0523690773067331</v>
      </c>
      <c r="KF11" s="3">
        <v>185</v>
      </c>
      <c r="KG11" s="3">
        <v>1843</v>
      </c>
      <c r="KP11" s="3">
        <v>6</v>
      </c>
      <c r="KQ11" s="3">
        <v>370</v>
      </c>
      <c r="KS11" s="5">
        <f t="shared" si="21"/>
        <v>191</v>
      </c>
      <c r="KT11" s="5">
        <f t="shared" si="22"/>
        <v>2213</v>
      </c>
      <c r="KU11" s="10">
        <f t="shared" si="23"/>
        <v>11.586387434554974</v>
      </c>
      <c r="KW11" s="5">
        <f t="shared" si="24"/>
        <v>8672</v>
      </c>
      <c r="KX11" s="5">
        <f t="shared" si="25"/>
        <v>87237</v>
      </c>
      <c r="KY11" s="10">
        <f t="shared" si="26"/>
        <v>10.059617158671587</v>
      </c>
      <c r="LA11" s="1" t="s">
        <v>287</v>
      </c>
      <c r="LB11">
        <v>332456</v>
      </c>
      <c r="LD11" s="11">
        <f t="shared" si="27"/>
        <v>26.084654811463775</v>
      </c>
      <c r="LE11" s="11">
        <f t="shared" si="28"/>
        <v>262.4016411194263</v>
      </c>
    </row>
    <row r="12" spans="1:317" ht="15.75" x14ac:dyDescent="0.25">
      <c r="A12" s="22" t="s">
        <v>365</v>
      </c>
      <c r="B12" s="24" t="s">
        <v>288</v>
      </c>
      <c r="C12" s="1"/>
      <c r="D12" s="1"/>
      <c r="E12">
        <v>5</v>
      </c>
      <c r="F12">
        <v>33</v>
      </c>
      <c r="G12">
        <v>26</v>
      </c>
      <c r="H12">
        <v>324</v>
      </c>
      <c r="N12" s="3">
        <v>102</v>
      </c>
      <c r="O12" s="3">
        <v>438</v>
      </c>
      <c r="P12" s="5">
        <f t="shared" si="0"/>
        <v>133</v>
      </c>
      <c r="Q12" s="5">
        <f t="shared" si="1"/>
        <v>795</v>
      </c>
      <c r="R12" s="10">
        <f t="shared" si="2"/>
        <v>5.977443609022556</v>
      </c>
      <c r="AA12" s="3">
        <v>924</v>
      </c>
      <c r="AB12" s="3">
        <v>10652</v>
      </c>
      <c r="AD12">
        <v>11</v>
      </c>
      <c r="AE12">
        <v>402</v>
      </c>
      <c r="AF12">
        <v>9</v>
      </c>
      <c r="AG12">
        <v>772</v>
      </c>
      <c r="AM12" s="3">
        <v>40</v>
      </c>
      <c r="AN12" s="3">
        <v>526</v>
      </c>
      <c r="AP12" s="5">
        <f t="shared" si="3"/>
        <v>984</v>
      </c>
      <c r="AQ12" s="5">
        <f t="shared" si="4"/>
        <v>12352</v>
      </c>
      <c r="AR12" s="10">
        <f t="shared" si="5"/>
        <v>12.552845528455284</v>
      </c>
      <c r="AY12" s="3">
        <v>220</v>
      </c>
      <c r="AZ12" s="3">
        <v>1757</v>
      </c>
      <c r="BB12">
        <v>2</v>
      </c>
      <c r="BC12">
        <v>419</v>
      </c>
      <c r="BD12">
        <v>92</v>
      </c>
      <c r="BE12">
        <v>488</v>
      </c>
      <c r="BF12" s="5">
        <f t="shared" si="6"/>
        <v>314</v>
      </c>
      <c r="BG12" s="5">
        <f t="shared" si="7"/>
        <v>2664</v>
      </c>
      <c r="BH12" s="10">
        <f t="shared" si="8"/>
        <v>8.4840764331210199</v>
      </c>
      <c r="BI12" s="10"/>
      <c r="BO12" s="3">
        <v>122</v>
      </c>
      <c r="BP12" s="3">
        <v>1127</v>
      </c>
      <c r="BX12" s="3">
        <v>44</v>
      </c>
      <c r="BY12" s="3">
        <v>948</v>
      </c>
      <c r="CA12">
        <v>1</v>
      </c>
      <c r="CB12">
        <v>1372</v>
      </c>
      <c r="CC12">
        <v>11</v>
      </c>
      <c r="CD12">
        <v>103</v>
      </c>
      <c r="CE12" s="5">
        <f t="shared" si="9"/>
        <v>178</v>
      </c>
      <c r="CF12" s="5">
        <f t="shared" si="10"/>
        <v>3550</v>
      </c>
      <c r="CG12" s="10">
        <f t="shared" si="11"/>
        <v>19.943820224719101</v>
      </c>
      <c r="CH12" s="10"/>
      <c r="CN12" s="3">
        <v>233</v>
      </c>
      <c r="CO12" s="3">
        <v>1370</v>
      </c>
      <c r="DV12" s="3">
        <v>2203</v>
      </c>
      <c r="DW12" s="3">
        <v>19648</v>
      </c>
      <c r="EK12" s="3">
        <v>171</v>
      </c>
      <c r="EL12" s="3">
        <v>5170</v>
      </c>
      <c r="EM12" s="5">
        <f t="shared" si="12"/>
        <v>2607</v>
      </c>
      <c r="EN12" s="5">
        <f t="shared" si="13"/>
        <v>26188</v>
      </c>
      <c r="EO12" s="10">
        <f t="shared" si="14"/>
        <v>10.045262754123513</v>
      </c>
      <c r="EY12" s="3">
        <v>46</v>
      </c>
      <c r="EZ12" s="3">
        <v>519</v>
      </c>
      <c r="FH12" s="3">
        <v>77</v>
      </c>
      <c r="FI12" s="3">
        <v>305</v>
      </c>
      <c r="FQ12" s="3">
        <v>46</v>
      </c>
      <c r="FR12" s="3">
        <v>1515</v>
      </c>
      <c r="GB12" s="3">
        <v>11</v>
      </c>
      <c r="GC12" s="3">
        <v>147</v>
      </c>
      <c r="GS12" s="3">
        <v>395</v>
      </c>
      <c r="GT12" s="3">
        <v>2064</v>
      </c>
      <c r="GU12" s="5">
        <f t="shared" si="15"/>
        <v>575</v>
      </c>
      <c r="GV12" s="5">
        <f t="shared" si="16"/>
        <v>4550</v>
      </c>
      <c r="GW12" s="10">
        <f t="shared" si="17"/>
        <v>7.9130434782608692</v>
      </c>
      <c r="HP12" s="3">
        <v>1112</v>
      </c>
      <c r="HQ12" s="3">
        <v>7525</v>
      </c>
      <c r="ID12" s="3">
        <v>144</v>
      </c>
      <c r="IE12" s="3">
        <v>960</v>
      </c>
      <c r="IF12" s="3"/>
      <c r="IK12" s="3">
        <v>25</v>
      </c>
      <c r="IL12" s="3">
        <v>1578</v>
      </c>
      <c r="IN12">
        <v>7</v>
      </c>
      <c r="IO12">
        <v>21</v>
      </c>
      <c r="JF12" s="3">
        <v>589</v>
      </c>
      <c r="JG12" s="3">
        <v>3538</v>
      </c>
      <c r="JI12" s="5">
        <f t="shared" si="18"/>
        <v>1877</v>
      </c>
      <c r="JJ12" s="5">
        <f t="shared" si="19"/>
        <v>13622</v>
      </c>
      <c r="JK12" s="10">
        <f t="shared" si="20"/>
        <v>7.2573255194459243</v>
      </c>
      <c r="KF12" s="3">
        <v>175</v>
      </c>
      <c r="KG12" s="3">
        <v>1405</v>
      </c>
      <c r="KP12" s="3">
        <v>22</v>
      </c>
      <c r="KQ12" s="3">
        <v>421</v>
      </c>
      <c r="KS12" s="5">
        <f t="shared" si="21"/>
        <v>197</v>
      </c>
      <c r="KT12" s="5">
        <f t="shared" si="22"/>
        <v>1826</v>
      </c>
      <c r="KU12" s="10">
        <f t="shared" si="23"/>
        <v>9.2690355329949234</v>
      </c>
      <c r="KW12" s="5">
        <f t="shared" si="24"/>
        <v>6865</v>
      </c>
      <c r="KX12" s="5">
        <f t="shared" si="25"/>
        <v>65547</v>
      </c>
      <c r="KY12" s="10">
        <f t="shared" si="26"/>
        <v>9.547997086671522</v>
      </c>
      <c r="LA12" s="1" t="s">
        <v>288</v>
      </c>
      <c r="LB12">
        <v>451941</v>
      </c>
      <c r="LD12" s="11">
        <f t="shared" si="27"/>
        <v>15.19003586751368</v>
      </c>
      <c r="LE12" s="11">
        <f t="shared" si="28"/>
        <v>145.03441820945653</v>
      </c>
    </row>
    <row r="13" spans="1:317" ht="15.75" x14ac:dyDescent="0.25">
      <c r="A13" s="22" t="s">
        <v>366</v>
      </c>
      <c r="B13" s="24" t="s">
        <v>289</v>
      </c>
      <c r="C13" s="1"/>
      <c r="D13" s="1"/>
      <c r="E13">
        <v>2</v>
      </c>
      <c r="F13">
        <v>4161</v>
      </c>
      <c r="G13">
        <v>41</v>
      </c>
      <c r="H13">
        <v>830</v>
      </c>
      <c r="N13" s="3">
        <v>72</v>
      </c>
      <c r="O13" s="3">
        <v>7831</v>
      </c>
      <c r="P13" s="5">
        <f t="shared" si="0"/>
        <v>115</v>
      </c>
      <c r="Q13" s="5">
        <f t="shared" si="1"/>
        <v>12822</v>
      </c>
      <c r="R13" s="10">
        <f t="shared" si="2"/>
        <v>111.49565217391304</v>
      </c>
      <c r="AA13" s="3">
        <v>388</v>
      </c>
      <c r="AB13" s="3">
        <v>2902</v>
      </c>
      <c r="AD13">
        <v>18</v>
      </c>
      <c r="AE13">
        <v>473</v>
      </c>
      <c r="AF13">
        <v>64</v>
      </c>
      <c r="AG13">
        <v>1918</v>
      </c>
      <c r="AM13" s="3">
        <v>75</v>
      </c>
      <c r="AN13" s="3">
        <v>1104</v>
      </c>
      <c r="AP13" s="5">
        <f t="shared" si="3"/>
        <v>545</v>
      </c>
      <c r="AQ13" s="5">
        <f t="shared" si="4"/>
        <v>6397</v>
      </c>
      <c r="AR13" s="10">
        <f t="shared" si="5"/>
        <v>11.737614678899083</v>
      </c>
      <c r="AY13" s="3">
        <v>32</v>
      </c>
      <c r="AZ13" s="3">
        <v>272</v>
      </c>
      <c r="BD13">
        <v>45</v>
      </c>
      <c r="BE13">
        <v>1159</v>
      </c>
      <c r="BF13" s="5">
        <f t="shared" si="6"/>
        <v>77</v>
      </c>
      <c r="BG13" s="5">
        <f t="shared" si="7"/>
        <v>1431</v>
      </c>
      <c r="BH13" s="10">
        <f t="shared" si="8"/>
        <v>18.584415584415584</v>
      </c>
      <c r="BI13" s="10"/>
      <c r="BO13" s="3">
        <v>83</v>
      </c>
      <c r="BP13" s="3">
        <v>11157</v>
      </c>
      <c r="BX13" s="3">
        <v>164</v>
      </c>
      <c r="BY13" s="3">
        <v>7399</v>
      </c>
      <c r="CC13">
        <v>7</v>
      </c>
      <c r="CD13">
        <v>282</v>
      </c>
      <c r="CE13" s="5">
        <f t="shared" si="9"/>
        <v>254</v>
      </c>
      <c r="CF13" s="5">
        <f t="shared" si="10"/>
        <v>18838</v>
      </c>
      <c r="CG13" s="10">
        <f t="shared" si="11"/>
        <v>74.165354330708666</v>
      </c>
      <c r="CH13" s="10"/>
      <c r="CN13" s="3">
        <v>4</v>
      </c>
      <c r="CO13" s="3">
        <v>23</v>
      </c>
      <c r="DV13" s="3">
        <v>738</v>
      </c>
      <c r="DW13" s="3">
        <v>22072</v>
      </c>
      <c r="EK13" s="3">
        <v>152</v>
      </c>
      <c r="EL13" s="3">
        <v>4953</v>
      </c>
      <c r="EM13" s="5">
        <f t="shared" si="12"/>
        <v>894</v>
      </c>
      <c r="EN13" s="5">
        <f t="shared" si="13"/>
        <v>27048</v>
      </c>
      <c r="EO13" s="10">
        <f t="shared" si="14"/>
        <v>30.255033557046978</v>
      </c>
      <c r="ER13">
        <v>18</v>
      </c>
      <c r="ES13">
        <v>3524</v>
      </c>
      <c r="EY13" s="3">
        <v>9</v>
      </c>
      <c r="EZ13" s="3">
        <v>22</v>
      </c>
      <c r="FH13" s="3">
        <v>112</v>
      </c>
      <c r="FI13" s="3">
        <v>2154</v>
      </c>
      <c r="FQ13" s="3">
        <v>24</v>
      </c>
      <c r="FR13" s="3">
        <v>2830</v>
      </c>
      <c r="GB13" s="3">
        <v>32</v>
      </c>
      <c r="GC13" s="3">
        <v>882</v>
      </c>
      <c r="GS13" s="3">
        <v>293</v>
      </c>
      <c r="GT13" s="3">
        <v>4057</v>
      </c>
      <c r="GU13" s="5">
        <f t="shared" si="15"/>
        <v>488</v>
      </c>
      <c r="GV13" s="5">
        <f t="shared" si="16"/>
        <v>13469</v>
      </c>
      <c r="GW13" s="10">
        <f t="shared" si="17"/>
        <v>27.600409836065573</v>
      </c>
      <c r="HP13" s="3">
        <v>458</v>
      </c>
      <c r="HQ13" s="3">
        <v>4439</v>
      </c>
      <c r="ID13" s="3">
        <v>160</v>
      </c>
      <c r="IE13" s="3">
        <v>2167</v>
      </c>
      <c r="IF13" s="3"/>
      <c r="IK13" s="3">
        <v>27</v>
      </c>
      <c r="IL13" s="3">
        <v>662</v>
      </c>
      <c r="IN13">
        <v>9</v>
      </c>
      <c r="IO13">
        <v>333</v>
      </c>
      <c r="JF13" s="3">
        <v>388</v>
      </c>
      <c r="JG13" s="3">
        <v>5195</v>
      </c>
      <c r="JI13" s="5">
        <f t="shared" si="18"/>
        <v>1042</v>
      </c>
      <c r="JJ13" s="5">
        <f t="shared" si="19"/>
        <v>12796</v>
      </c>
      <c r="JK13" s="10">
        <f t="shared" si="20"/>
        <v>12.280230326295586</v>
      </c>
      <c r="KF13" s="3">
        <v>173</v>
      </c>
      <c r="KG13" s="3">
        <v>4241</v>
      </c>
      <c r="KP13" s="3">
        <v>29</v>
      </c>
      <c r="KQ13" s="3">
        <v>2119</v>
      </c>
      <c r="KS13" s="5">
        <f t="shared" si="21"/>
        <v>202</v>
      </c>
      <c r="KT13" s="5">
        <f t="shared" si="22"/>
        <v>6360</v>
      </c>
      <c r="KU13" s="10">
        <f t="shared" si="23"/>
        <v>31.485148514851485</v>
      </c>
      <c r="KW13" s="5">
        <f t="shared" si="24"/>
        <v>3617</v>
      </c>
      <c r="KX13" s="5">
        <f t="shared" si="25"/>
        <v>99161</v>
      </c>
      <c r="KY13" s="10">
        <f t="shared" si="26"/>
        <v>27.415261266242741</v>
      </c>
      <c r="LA13" s="1" t="s">
        <v>289</v>
      </c>
      <c r="LB13">
        <v>520978</v>
      </c>
      <c r="LD13" s="11">
        <f t="shared" si="27"/>
        <v>6.9427115924280871</v>
      </c>
      <c r="LE13" s="11">
        <f t="shared" si="28"/>
        <v>190.33625220258821</v>
      </c>
    </row>
    <row r="14" spans="1:317" ht="15.75" x14ac:dyDescent="0.25">
      <c r="A14" s="22" t="s">
        <v>367</v>
      </c>
      <c r="B14" s="24" t="s">
        <v>290</v>
      </c>
      <c r="C14" s="1"/>
      <c r="D14" s="1"/>
      <c r="E14">
        <v>12</v>
      </c>
      <c r="F14">
        <v>208</v>
      </c>
      <c r="G14">
        <v>200</v>
      </c>
      <c r="H14">
        <v>898</v>
      </c>
      <c r="N14" s="3">
        <v>303</v>
      </c>
      <c r="O14" s="3">
        <v>855</v>
      </c>
      <c r="P14" s="5">
        <f t="shared" si="0"/>
        <v>515</v>
      </c>
      <c r="Q14" s="5">
        <f t="shared" si="1"/>
        <v>1961</v>
      </c>
      <c r="R14" s="10">
        <f t="shared" si="2"/>
        <v>3.8077669902912623</v>
      </c>
      <c r="AA14" s="3">
        <v>1993</v>
      </c>
      <c r="AB14" s="3">
        <v>7479</v>
      </c>
      <c r="AD14">
        <v>139</v>
      </c>
      <c r="AE14">
        <v>885</v>
      </c>
      <c r="AF14">
        <v>107</v>
      </c>
      <c r="AG14">
        <v>1004</v>
      </c>
      <c r="AM14" s="3">
        <v>195</v>
      </c>
      <c r="AN14" s="3">
        <v>2083</v>
      </c>
      <c r="AP14" s="5">
        <f t="shared" si="3"/>
        <v>2434</v>
      </c>
      <c r="AQ14" s="5">
        <f t="shared" si="4"/>
        <v>11451</v>
      </c>
      <c r="AR14" s="10">
        <f t="shared" si="5"/>
        <v>4.7046014790468362</v>
      </c>
      <c r="AY14" s="3">
        <v>194</v>
      </c>
      <c r="AZ14" s="3">
        <v>1261</v>
      </c>
      <c r="BB14">
        <v>5</v>
      </c>
      <c r="BC14">
        <v>381</v>
      </c>
      <c r="BD14">
        <v>110</v>
      </c>
      <c r="BE14">
        <v>947</v>
      </c>
      <c r="BF14" s="5">
        <f t="shared" si="6"/>
        <v>309</v>
      </c>
      <c r="BG14" s="5">
        <f t="shared" si="7"/>
        <v>2589</v>
      </c>
      <c r="BH14" s="10">
        <f t="shared" si="8"/>
        <v>8.3786407766990294</v>
      </c>
      <c r="BI14" s="10"/>
      <c r="BO14" s="3">
        <v>99</v>
      </c>
      <c r="BP14" s="3">
        <v>2749</v>
      </c>
      <c r="BX14" s="3">
        <v>132</v>
      </c>
      <c r="BY14" s="3">
        <v>2134</v>
      </c>
      <c r="CA14">
        <v>1</v>
      </c>
      <c r="CB14">
        <v>79</v>
      </c>
      <c r="CC14">
        <v>38</v>
      </c>
      <c r="CD14">
        <v>277</v>
      </c>
      <c r="CE14" s="5">
        <f t="shared" si="9"/>
        <v>270</v>
      </c>
      <c r="CF14" s="5">
        <f t="shared" si="10"/>
        <v>5239</v>
      </c>
      <c r="CG14" s="10">
        <f t="shared" si="11"/>
        <v>19.403703703703705</v>
      </c>
      <c r="CH14" s="10"/>
      <c r="CN14" s="3">
        <v>154</v>
      </c>
      <c r="CO14" s="3">
        <v>317</v>
      </c>
      <c r="DV14" s="3">
        <v>3406</v>
      </c>
      <c r="DW14" s="3">
        <v>16144</v>
      </c>
      <c r="EK14" s="3">
        <v>456</v>
      </c>
      <c r="EL14" s="3">
        <v>7604</v>
      </c>
      <c r="EM14" s="5">
        <f t="shared" si="12"/>
        <v>4016</v>
      </c>
      <c r="EN14" s="5">
        <f t="shared" si="13"/>
        <v>24065</v>
      </c>
      <c r="EO14" s="10">
        <f t="shared" si="14"/>
        <v>5.9922808764940241</v>
      </c>
      <c r="ER14">
        <v>249</v>
      </c>
      <c r="ES14">
        <v>5930</v>
      </c>
      <c r="EY14" s="3">
        <v>44</v>
      </c>
      <c r="EZ14" s="3">
        <v>673</v>
      </c>
      <c r="FH14" s="3">
        <v>1045</v>
      </c>
      <c r="FI14" s="3">
        <v>2415</v>
      </c>
      <c r="FQ14" s="3">
        <v>274</v>
      </c>
      <c r="FR14" s="3">
        <v>27631</v>
      </c>
      <c r="GB14" s="3">
        <v>208</v>
      </c>
      <c r="GC14" s="3">
        <v>985</v>
      </c>
      <c r="GS14" s="3">
        <v>1245</v>
      </c>
      <c r="GT14" s="3">
        <v>3440</v>
      </c>
      <c r="GU14" s="5">
        <f t="shared" si="15"/>
        <v>3065</v>
      </c>
      <c r="GV14" s="5">
        <f t="shared" si="16"/>
        <v>41074</v>
      </c>
      <c r="GW14" s="10">
        <f t="shared" si="17"/>
        <v>13.400978792822187</v>
      </c>
      <c r="HP14" s="3">
        <v>2755</v>
      </c>
      <c r="HQ14" s="3">
        <v>9464</v>
      </c>
      <c r="ID14" s="3">
        <v>244</v>
      </c>
      <c r="IE14" s="3">
        <v>1191</v>
      </c>
      <c r="IF14" s="3"/>
      <c r="IK14" s="3">
        <v>134</v>
      </c>
      <c r="IL14" s="3">
        <v>2421</v>
      </c>
      <c r="IN14">
        <v>11</v>
      </c>
      <c r="IO14">
        <v>46</v>
      </c>
      <c r="JF14" s="3">
        <v>2539</v>
      </c>
      <c r="JG14" s="3">
        <v>6368</v>
      </c>
      <c r="JI14" s="5">
        <f t="shared" si="18"/>
        <v>5683</v>
      </c>
      <c r="JJ14" s="5">
        <f t="shared" si="19"/>
        <v>19490</v>
      </c>
      <c r="JK14" s="10">
        <f t="shared" si="20"/>
        <v>3.4295266584550412</v>
      </c>
      <c r="KF14" s="3">
        <v>767</v>
      </c>
      <c r="KG14" s="3">
        <v>2650</v>
      </c>
      <c r="KP14" s="3">
        <v>38</v>
      </c>
      <c r="KQ14" s="3">
        <v>1207</v>
      </c>
      <c r="KS14" s="5">
        <f t="shared" si="21"/>
        <v>805</v>
      </c>
      <c r="KT14" s="5">
        <f t="shared" si="22"/>
        <v>3857</v>
      </c>
      <c r="KU14" s="10">
        <f t="shared" si="23"/>
        <v>4.7913043478260873</v>
      </c>
      <c r="KW14" s="5">
        <f t="shared" si="24"/>
        <v>17097</v>
      </c>
      <c r="KX14" s="5">
        <f t="shared" si="25"/>
        <v>109726</v>
      </c>
      <c r="KY14" s="10">
        <f t="shared" si="26"/>
        <v>6.4178510849856698</v>
      </c>
      <c r="LA14" s="1" t="s">
        <v>290</v>
      </c>
      <c r="LB14">
        <v>851016</v>
      </c>
      <c r="LD14" s="11">
        <f t="shared" si="27"/>
        <v>20.09010406384839</v>
      </c>
      <c r="LE14" s="11">
        <f t="shared" si="28"/>
        <v>128.93529616364441</v>
      </c>
    </row>
    <row r="15" spans="1:317" ht="15.75" x14ac:dyDescent="0.25">
      <c r="A15" s="22" t="s">
        <v>368</v>
      </c>
      <c r="B15" s="24" t="s">
        <v>291</v>
      </c>
      <c r="C15" s="1"/>
      <c r="D15" s="1"/>
      <c r="E15">
        <v>273</v>
      </c>
      <c r="F15">
        <v>10939</v>
      </c>
      <c r="G15">
        <v>1053</v>
      </c>
      <c r="H15">
        <v>6761</v>
      </c>
      <c r="N15" s="3">
        <v>3684</v>
      </c>
      <c r="O15" s="3">
        <v>14682</v>
      </c>
      <c r="P15" s="5">
        <f t="shared" si="0"/>
        <v>5010</v>
      </c>
      <c r="Q15" s="5">
        <f t="shared" si="1"/>
        <v>32382</v>
      </c>
      <c r="R15" s="10">
        <f t="shared" si="2"/>
        <v>6.4634730538922156</v>
      </c>
      <c r="AA15" s="3">
        <v>12805</v>
      </c>
      <c r="AB15" s="3">
        <v>87837</v>
      </c>
      <c r="AD15">
        <v>187</v>
      </c>
      <c r="AE15">
        <v>3105</v>
      </c>
      <c r="AF15">
        <v>273</v>
      </c>
      <c r="AG15">
        <v>5377</v>
      </c>
      <c r="AM15" s="3">
        <v>1423</v>
      </c>
      <c r="AN15" s="3">
        <v>8828</v>
      </c>
      <c r="AP15" s="5">
        <f t="shared" si="3"/>
        <v>14688</v>
      </c>
      <c r="AQ15" s="5">
        <f t="shared" si="4"/>
        <v>105147</v>
      </c>
      <c r="AR15" s="10">
        <f t="shared" si="5"/>
        <v>7.1587009803921573</v>
      </c>
      <c r="AY15" s="3">
        <v>3689</v>
      </c>
      <c r="AZ15" s="3">
        <v>38390</v>
      </c>
      <c r="BB15">
        <v>603</v>
      </c>
      <c r="BC15">
        <v>17897</v>
      </c>
      <c r="BD15">
        <v>1131</v>
      </c>
      <c r="BE15">
        <v>8718</v>
      </c>
      <c r="BF15" s="5">
        <f t="shared" si="6"/>
        <v>5423</v>
      </c>
      <c r="BG15" s="5">
        <f t="shared" si="7"/>
        <v>65005</v>
      </c>
      <c r="BH15" s="10">
        <f t="shared" si="8"/>
        <v>11.98690761571086</v>
      </c>
      <c r="BI15" s="10"/>
      <c r="BO15" s="3">
        <v>443</v>
      </c>
      <c r="BP15" s="3">
        <v>20408</v>
      </c>
      <c r="BX15" s="3">
        <v>1032</v>
      </c>
      <c r="BY15" s="3">
        <v>21073</v>
      </c>
      <c r="CA15">
        <v>29</v>
      </c>
      <c r="CB15">
        <v>1863</v>
      </c>
      <c r="CC15">
        <v>638</v>
      </c>
      <c r="CD15">
        <v>4979</v>
      </c>
      <c r="CE15" s="5">
        <f t="shared" si="9"/>
        <v>2142</v>
      </c>
      <c r="CF15" s="5">
        <f t="shared" si="10"/>
        <v>48323</v>
      </c>
      <c r="CG15" s="10">
        <f t="shared" si="11"/>
        <v>22.559757236227824</v>
      </c>
      <c r="CH15" s="10"/>
      <c r="CN15" s="3">
        <v>1193</v>
      </c>
      <c r="CO15" s="3">
        <v>6775</v>
      </c>
      <c r="DV15" s="3">
        <v>17228</v>
      </c>
      <c r="DW15" s="3">
        <v>349807</v>
      </c>
      <c r="EK15" s="3">
        <v>2282</v>
      </c>
      <c r="EL15" s="3">
        <v>185851</v>
      </c>
      <c r="EM15" s="5">
        <f t="shared" si="12"/>
        <v>20703</v>
      </c>
      <c r="EN15" s="5">
        <f t="shared" si="13"/>
        <v>542433</v>
      </c>
      <c r="EO15" s="10">
        <f t="shared" si="14"/>
        <v>26.200695551369368</v>
      </c>
      <c r="ER15">
        <v>21</v>
      </c>
      <c r="ES15">
        <v>566</v>
      </c>
      <c r="EY15" s="3">
        <v>1539</v>
      </c>
      <c r="EZ15" s="3">
        <v>56590</v>
      </c>
      <c r="FH15" s="3">
        <v>4842</v>
      </c>
      <c r="FI15" s="3">
        <v>80824</v>
      </c>
      <c r="FQ15" s="3">
        <v>2758</v>
      </c>
      <c r="FR15" s="3">
        <v>105064</v>
      </c>
      <c r="GB15" s="3">
        <v>1318</v>
      </c>
      <c r="GC15" s="3">
        <v>12062</v>
      </c>
      <c r="GS15" s="3">
        <v>16473</v>
      </c>
      <c r="GT15" s="3">
        <v>67654</v>
      </c>
      <c r="GU15" s="5">
        <f t="shared" si="15"/>
        <v>26951</v>
      </c>
      <c r="GV15" s="5">
        <f t="shared" si="16"/>
        <v>322760</v>
      </c>
      <c r="GW15" s="10">
        <f t="shared" si="17"/>
        <v>11.97580794775704</v>
      </c>
      <c r="HP15" s="3">
        <v>21596</v>
      </c>
      <c r="HQ15" s="3">
        <v>94387</v>
      </c>
      <c r="ID15" s="3">
        <v>2261</v>
      </c>
      <c r="IE15" s="3">
        <v>12452</v>
      </c>
      <c r="IF15" s="3"/>
      <c r="IK15" s="3">
        <v>722</v>
      </c>
      <c r="IL15" s="3">
        <v>14626</v>
      </c>
      <c r="IN15">
        <v>47</v>
      </c>
      <c r="IO15">
        <v>663</v>
      </c>
      <c r="JF15" s="3">
        <v>13555</v>
      </c>
      <c r="JG15" s="3">
        <v>68980</v>
      </c>
      <c r="JI15" s="5">
        <f t="shared" si="18"/>
        <v>38181</v>
      </c>
      <c r="JJ15" s="5">
        <f t="shared" si="19"/>
        <v>191108</v>
      </c>
      <c r="JK15" s="10">
        <f t="shared" si="20"/>
        <v>5.0053167805976795</v>
      </c>
      <c r="KF15" s="3">
        <v>2616</v>
      </c>
      <c r="KG15" s="3">
        <v>22505</v>
      </c>
      <c r="KP15" s="3">
        <v>347</v>
      </c>
      <c r="KQ15" s="3">
        <v>8539</v>
      </c>
      <c r="KS15" s="5">
        <f t="shared" si="21"/>
        <v>2963</v>
      </c>
      <c r="KT15" s="5">
        <f t="shared" si="22"/>
        <v>31044</v>
      </c>
      <c r="KU15" s="10">
        <f t="shared" si="23"/>
        <v>10.477219034762065</v>
      </c>
      <c r="KW15" s="5">
        <f t="shared" si="24"/>
        <v>116061</v>
      </c>
      <c r="KX15" s="5">
        <f t="shared" si="25"/>
        <v>1338202</v>
      </c>
      <c r="KY15" s="10">
        <f t="shared" si="26"/>
        <v>11.530160863683752</v>
      </c>
      <c r="LA15" s="1" t="s">
        <v>291</v>
      </c>
      <c r="LB15">
        <v>4705525</v>
      </c>
      <c r="LD15" s="11">
        <f t="shared" si="27"/>
        <v>24.664835485944714</v>
      </c>
      <c r="LE15" s="11">
        <f t="shared" si="28"/>
        <v>284.38952082923794</v>
      </c>
    </row>
    <row r="16" spans="1:317" ht="15.75" x14ac:dyDescent="0.25">
      <c r="A16" s="22" t="s">
        <v>369</v>
      </c>
      <c r="B16" s="24" t="s">
        <v>292</v>
      </c>
      <c r="C16" s="1"/>
      <c r="D16" s="1"/>
      <c r="E16">
        <v>111</v>
      </c>
      <c r="F16">
        <v>2873</v>
      </c>
      <c r="G16">
        <v>312</v>
      </c>
      <c r="H16">
        <v>2805</v>
      </c>
      <c r="N16" s="3">
        <v>1424</v>
      </c>
      <c r="O16" s="3">
        <v>6549</v>
      </c>
      <c r="P16" s="5">
        <f t="shared" si="0"/>
        <v>1847</v>
      </c>
      <c r="Q16" s="5">
        <f t="shared" si="1"/>
        <v>12227</v>
      </c>
      <c r="R16" s="10">
        <f t="shared" si="2"/>
        <v>6.619924201407688</v>
      </c>
      <c r="AA16" s="3">
        <v>5053</v>
      </c>
      <c r="AB16" s="3">
        <v>66479</v>
      </c>
      <c r="AD16">
        <v>71</v>
      </c>
      <c r="AE16">
        <v>1243</v>
      </c>
      <c r="AF16">
        <v>63</v>
      </c>
      <c r="AG16">
        <v>1218</v>
      </c>
      <c r="AM16" s="3">
        <v>277</v>
      </c>
      <c r="AN16" s="3">
        <v>3396</v>
      </c>
      <c r="AP16" s="5">
        <f t="shared" si="3"/>
        <v>5464</v>
      </c>
      <c r="AQ16" s="5">
        <f t="shared" si="4"/>
        <v>72336</v>
      </c>
      <c r="AR16" s="10">
        <f t="shared" si="5"/>
        <v>13.238653001464129</v>
      </c>
      <c r="AY16" s="3">
        <v>1298</v>
      </c>
      <c r="AZ16" s="3">
        <v>11239</v>
      </c>
      <c r="BB16">
        <v>17</v>
      </c>
      <c r="BC16">
        <v>3139</v>
      </c>
      <c r="BD16">
        <v>361</v>
      </c>
      <c r="BE16">
        <v>4229</v>
      </c>
      <c r="BF16" s="5">
        <f t="shared" si="6"/>
        <v>1676</v>
      </c>
      <c r="BG16" s="5">
        <f t="shared" si="7"/>
        <v>18607</v>
      </c>
      <c r="BH16" s="10">
        <f t="shared" si="8"/>
        <v>11.102028639618139</v>
      </c>
      <c r="BI16" s="10"/>
      <c r="BO16" s="3">
        <v>237</v>
      </c>
      <c r="BP16" s="3">
        <v>6712</v>
      </c>
      <c r="BX16" s="3">
        <v>458</v>
      </c>
      <c r="BY16" s="3">
        <v>6827</v>
      </c>
      <c r="CA16">
        <v>3</v>
      </c>
      <c r="CB16">
        <v>171</v>
      </c>
      <c r="CC16">
        <v>320</v>
      </c>
      <c r="CD16">
        <v>2782</v>
      </c>
      <c r="CE16" s="5">
        <f t="shared" si="9"/>
        <v>1018</v>
      </c>
      <c r="CF16" s="5">
        <f t="shared" si="10"/>
        <v>16492</v>
      </c>
      <c r="CG16" s="10">
        <f t="shared" si="11"/>
        <v>16.200392927308449</v>
      </c>
      <c r="CH16" s="10"/>
      <c r="CN16" s="3">
        <v>896</v>
      </c>
      <c r="CO16" s="3">
        <v>5665</v>
      </c>
      <c r="DV16" s="3">
        <v>5889</v>
      </c>
      <c r="DW16" s="3">
        <v>165613</v>
      </c>
      <c r="EK16" s="3">
        <v>1077</v>
      </c>
      <c r="EL16" s="3">
        <v>68975</v>
      </c>
      <c r="EM16" s="5">
        <f t="shared" si="12"/>
        <v>7862</v>
      </c>
      <c r="EN16" s="5">
        <f t="shared" si="13"/>
        <v>240253</v>
      </c>
      <c r="EO16" s="10">
        <f t="shared" si="14"/>
        <v>30.558763673365554</v>
      </c>
      <c r="ER16">
        <v>3</v>
      </c>
      <c r="ES16">
        <v>127</v>
      </c>
      <c r="EY16" s="3">
        <v>2169</v>
      </c>
      <c r="EZ16" s="3">
        <v>57079</v>
      </c>
      <c r="FH16" s="3">
        <v>6095</v>
      </c>
      <c r="FI16" s="3">
        <v>53601</v>
      </c>
      <c r="FQ16" s="3">
        <v>554</v>
      </c>
      <c r="FR16" s="3">
        <v>9004</v>
      </c>
      <c r="GB16" s="3">
        <v>413</v>
      </c>
      <c r="GC16" s="3">
        <v>4415</v>
      </c>
      <c r="GS16" s="3">
        <v>6715</v>
      </c>
      <c r="GT16" s="3">
        <v>29405</v>
      </c>
      <c r="GU16" s="5">
        <f t="shared" si="15"/>
        <v>15949</v>
      </c>
      <c r="GV16" s="5">
        <f t="shared" si="16"/>
        <v>153631</v>
      </c>
      <c r="GW16" s="10">
        <f t="shared" si="17"/>
        <v>9.6326415449244465</v>
      </c>
      <c r="HP16" s="3">
        <v>10031</v>
      </c>
      <c r="HQ16" s="3">
        <v>50022</v>
      </c>
      <c r="ID16" s="3">
        <v>1135</v>
      </c>
      <c r="IE16" s="3">
        <v>6603</v>
      </c>
      <c r="IF16" s="3"/>
      <c r="IK16" s="3">
        <v>235</v>
      </c>
      <c r="IL16" s="3">
        <v>2894</v>
      </c>
      <c r="IN16">
        <v>3</v>
      </c>
      <c r="IO16">
        <v>64</v>
      </c>
      <c r="JF16" s="3">
        <v>5535</v>
      </c>
      <c r="JG16" s="3">
        <v>30040</v>
      </c>
      <c r="JI16" s="5">
        <f t="shared" si="18"/>
        <v>16939</v>
      </c>
      <c r="JJ16" s="5">
        <f t="shared" si="19"/>
        <v>89623</v>
      </c>
      <c r="JK16" s="10">
        <f t="shared" si="20"/>
        <v>5.2909262648326347</v>
      </c>
      <c r="KF16" s="3">
        <v>955</v>
      </c>
      <c r="KG16" s="3">
        <v>40143</v>
      </c>
      <c r="KP16" s="3">
        <v>71</v>
      </c>
      <c r="KQ16" s="3">
        <v>1566</v>
      </c>
      <c r="KS16" s="5">
        <f t="shared" si="21"/>
        <v>1026</v>
      </c>
      <c r="KT16" s="5">
        <f t="shared" si="22"/>
        <v>41709</v>
      </c>
      <c r="KU16" s="10">
        <f t="shared" si="23"/>
        <v>40.652046783625728</v>
      </c>
      <c r="KW16" s="5">
        <f t="shared" si="24"/>
        <v>51781</v>
      </c>
      <c r="KX16" s="5">
        <f t="shared" si="25"/>
        <v>644878</v>
      </c>
      <c r="KY16" s="10">
        <f t="shared" si="26"/>
        <v>12.453950290647148</v>
      </c>
      <c r="LA16" s="1" t="s">
        <v>292</v>
      </c>
      <c r="LB16">
        <v>1867094</v>
      </c>
      <c r="LD16" s="11">
        <f t="shared" si="27"/>
        <v>27.733472444343992</v>
      </c>
      <c r="LE16" s="11">
        <f t="shared" si="28"/>
        <v>345.39128720889255</v>
      </c>
    </row>
    <row r="17" spans="1:319" ht="15.75" x14ac:dyDescent="0.25">
      <c r="A17" s="22" t="s">
        <v>370</v>
      </c>
      <c r="B17" s="24" t="s">
        <v>293</v>
      </c>
      <c r="C17" s="1"/>
      <c r="D17" s="1"/>
      <c r="E17">
        <v>42</v>
      </c>
      <c r="F17">
        <v>1674</v>
      </c>
      <c r="G17">
        <v>61</v>
      </c>
      <c r="H17">
        <v>326</v>
      </c>
      <c r="N17" s="3">
        <v>355</v>
      </c>
      <c r="O17" s="3">
        <v>1250</v>
      </c>
      <c r="P17" s="5">
        <f t="shared" si="0"/>
        <v>458</v>
      </c>
      <c r="Q17" s="5">
        <f t="shared" si="1"/>
        <v>3250</v>
      </c>
      <c r="R17" s="10">
        <f t="shared" si="2"/>
        <v>7.0960698689956327</v>
      </c>
      <c r="AA17" s="3">
        <v>1198</v>
      </c>
      <c r="AB17" s="3">
        <v>10299</v>
      </c>
      <c r="AD17">
        <v>16</v>
      </c>
      <c r="AE17">
        <v>957</v>
      </c>
      <c r="AF17">
        <v>16</v>
      </c>
      <c r="AG17">
        <v>242</v>
      </c>
      <c r="AM17" s="3">
        <v>67</v>
      </c>
      <c r="AN17" s="3">
        <v>809</v>
      </c>
      <c r="AP17" s="5">
        <f t="shared" si="3"/>
        <v>1297</v>
      </c>
      <c r="AQ17" s="5">
        <f t="shared" si="4"/>
        <v>12307</v>
      </c>
      <c r="AR17" s="10">
        <f t="shared" si="5"/>
        <v>9.488820354664611</v>
      </c>
      <c r="AY17" s="3">
        <v>231</v>
      </c>
      <c r="AZ17" s="3">
        <v>1984</v>
      </c>
      <c r="BB17">
        <v>3</v>
      </c>
      <c r="BC17">
        <v>126</v>
      </c>
      <c r="BD17">
        <v>169</v>
      </c>
      <c r="BE17">
        <v>2051</v>
      </c>
      <c r="BF17" s="5">
        <f t="shared" si="6"/>
        <v>403</v>
      </c>
      <c r="BG17" s="5">
        <f t="shared" si="7"/>
        <v>4161</v>
      </c>
      <c r="BH17" s="10">
        <f t="shared" si="8"/>
        <v>10.325062034739455</v>
      </c>
      <c r="BI17" s="10"/>
      <c r="BO17" s="3">
        <v>77</v>
      </c>
      <c r="BP17" s="3">
        <v>5080</v>
      </c>
      <c r="BX17" s="3">
        <v>61</v>
      </c>
      <c r="BY17" s="3">
        <v>993</v>
      </c>
      <c r="CA17">
        <v>5</v>
      </c>
      <c r="CB17">
        <v>1064</v>
      </c>
      <c r="CC17">
        <v>80</v>
      </c>
      <c r="CD17">
        <v>376</v>
      </c>
      <c r="CE17" s="5">
        <f t="shared" si="9"/>
        <v>223</v>
      </c>
      <c r="CF17" s="5">
        <f t="shared" si="10"/>
        <v>7513</v>
      </c>
      <c r="CG17" s="10">
        <f t="shared" si="11"/>
        <v>33.690582959641254</v>
      </c>
      <c r="CH17" s="10"/>
      <c r="CN17" s="3">
        <v>69</v>
      </c>
      <c r="CO17" s="3">
        <v>345</v>
      </c>
      <c r="DV17" s="3">
        <v>1691</v>
      </c>
      <c r="DW17" s="3">
        <v>43633</v>
      </c>
      <c r="EK17" s="3">
        <v>407</v>
      </c>
      <c r="EL17" s="3">
        <v>18520</v>
      </c>
      <c r="EM17" s="5">
        <f t="shared" si="12"/>
        <v>2167</v>
      </c>
      <c r="EN17" s="5">
        <f t="shared" si="13"/>
        <v>62498</v>
      </c>
      <c r="EO17" s="10">
        <f t="shared" si="14"/>
        <v>28.840793724042456</v>
      </c>
      <c r="ER17">
        <v>1</v>
      </c>
      <c r="ES17">
        <v>196</v>
      </c>
      <c r="EY17" s="3">
        <v>624</v>
      </c>
      <c r="EZ17" s="3">
        <v>14946</v>
      </c>
      <c r="FH17" s="3">
        <v>1260</v>
      </c>
      <c r="FI17" s="3">
        <v>17111</v>
      </c>
      <c r="FQ17" s="3">
        <v>133</v>
      </c>
      <c r="FR17" s="3">
        <v>3046</v>
      </c>
      <c r="GB17" s="3">
        <v>169</v>
      </c>
      <c r="GC17" s="3">
        <v>1040</v>
      </c>
      <c r="GS17" s="3">
        <v>1090</v>
      </c>
      <c r="GT17" s="3">
        <v>4138</v>
      </c>
      <c r="GU17" s="5">
        <f t="shared" si="15"/>
        <v>3277</v>
      </c>
      <c r="GV17" s="5">
        <f t="shared" si="16"/>
        <v>40477</v>
      </c>
      <c r="GW17" s="10">
        <f t="shared" si="17"/>
        <v>12.351846200793409</v>
      </c>
      <c r="HP17" s="3">
        <v>2129</v>
      </c>
      <c r="HQ17" s="3">
        <v>9751</v>
      </c>
      <c r="ID17" s="3">
        <v>214</v>
      </c>
      <c r="IE17" s="3">
        <v>1117</v>
      </c>
      <c r="IF17" s="3"/>
      <c r="IK17" s="3">
        <v>79</v>
      </c>
      <c r="IL17" s="3">
        <v>785</v>
      </c>
      <c r="IN17">
        <v>1</v>
      </c>
      <c r="IO17">
        <v>16</v>
      </c>
      <c r="JF17" s="3">
        <v>1253</v>
      </c>
      <c r="JG17" s="3">
        <v>7361</v>
      </c>
      <c r="JI17" s="5">
        <f t="shared" si="18"/>
        <v>3676</v>
      </c>
      <c r="JJ17" s="5">
        <f t="shared" si="19"/>
        <v>19030</v>
      </c>
      <c r="JK17" s="10">
        <f t="shared" si="20"/>
        <v>5.1768226332970624</v>
      </c>
      <c r="KF17" s="3">
        <v>195</v>
      </c>
      <c r="KG17" s="3">
        <v>2172</v>
      </c>
      <c r="KP17" s="3">
        <v>33</v>
      </c>
      <c r="KQ17" s="3">
        <v>617</v>
      </c>
      <c r="KS17" s="5">
        <f t="shared" si="21"/>
        <v>228</v>
      </c>
      <c r="KT17" s="5">
        <f t="shared" si="22"/>
        <v>2789</v>
      </c>
      <c r="KU17" s="10">
        <f t="shared" si="23"/>
        <v>12.232456140350877</v>
      </c>
      <c r="KW17" s="5">
        <f t="shared" si="24"/>
        <v>11729</v>
      </c>
      <c r="KX17" s="5">
        <f t="shared" si="25"/>
        <v>152025</v>
      </c>
      <c r="KY17" s="10">
        <f t="shared" si="26"/>
        <v>12.961463040327393</v>
      </c>
      <c r="LA17" s="1" t="s">
        <v>293</v>
      </c>
      <c r="LB17">
        <v>443912</v>
      </c>
      <c r="LD17" s="11">
        <f t="shared" si="27"/>
        <v>26.421903440321504</v>
      </c>
      <c r="LE17" s="11">
        <f t="shared" si="28"/>
        <v>342.4665248968264</v>
      </c>
    </row>
    <row r="18" spans="1:319" ht="15.75" x14ac:dyDescent="0.25">
      <c r="A18" s="22" t="s">
        <v>371</v>
      </c>
      <c r="B18" s="24" t="s">
        <v>294</v>
      </c>
      <c r="C18" s="1"/>
      <c r="D18" s="1"/>
      <c r="E18">
        <v>9</v>
      </c>
      <c r="F18">
        <v>362</v>
      </c>
      <c r="G18">
        <v>203</v>
      </c>
      <c r="H18">
        <v>2200</v>
      </c>
      <c r="N18" s="3">
        <v>449</v>
      </c>
      <c r="O18" s="3">
        <v>2230</v>
      </c>
      <c r="P18" s="5">
        <f t="shared" si="0"/>
        <v>661</v>
      </c>
      <c r="Q18" s="5">
        <f t="shared" si="1"/>
        <v>4792</v>
      </c>
      <c r="R18" s="10">
        <f t="shared" si="2"/>
        <v>7.2496217851739786</v>
      </c>
      <c r="AA18" s="3">
        <v>2641</v>
      </c>
      <c r="AB18" s="3">
        <v>13634</v>
      </c>
      <c r="AD18">
        <v>145</v>
      </c>
      <c r="AE18">
        <v>893</v>
      </c>
      <c r="AF18">
        <v>142</v>
      </c>
      <c r="AG18">
        <v>1112</v>
      </c>
      <c r="AM18" s="3">
        <v>324</v>
      </c>
      <c r="AN18" s="3">
        <v>1958</v>
      </c>
      <c r="AP18" s="5">
        <f t="shared" si="3"/>
        <v>3252</v>
      </c>
      <c r="AQ18" s="5">
        <f t="shared" si="4"/>
        <v>17597</v>
      </c>
      <c r="AR18" s="10">
        <f t="shared" si="5"/>
        <v>5.4111316113161134</v>
      </c>
      <c r="AY18" s="3">
        <v>967</v>
      </c>
      <c r="AZ18" s="3">
        <v>5285</v>
      </c>
      <c r="BB18">
        <v>19</v>
      </c>
      <c r="BC18">
        <v>534</v>
      </c>
      <c r="BD18">
        <v>81</v>
      </c>
      <c r="BE18">
        <v>882</v>
      </c>
      <c r="BF18" s="5">
        <f t="shared" si="6"/>
        <v>1067</v>
      </c>
      <c r="BG18" s="5">
        <f t="shared" si="7"/>
        <v>6701</v>
      </c>
      <c r="BH18" s="10">
        <f t="shared" si="8"/>
        <v>6.2802249297094654</v>
      </c>
      <c r="BI18" s="10"/>
      <c r="BO18" s="3">
        <v>170</v>
      </c>
      <c r="BP18" s="3">
        <v>5967</v>
      </c>
      <c r="BX18" s="3">
        <v>619</v>
      </c>
      <c r="BY18" s="3">
        <v>8079</v>
      </c>
      <c r="CA18">
        <v>10</v>
      </c>
      <c r="CB18">
        <v>42</v>
      </c>
      <c r="CC18">
        <v>198</v>
      </c>
      <c r="CD18">
        <v>1134</v>
      </c>
      <c r="CE18" s="5">
        <f t="shared" si="9"/>
        <v>997</v>
      </c>
      <c r="CF18" s="5">
        <f t="shared" si="10"/>
        <v>15222</v>
      </c>
      <c r="CG18" s="10">
        <f t="shared" si="11"/>
        <v>15.267803410230693</v>
      </c>
      <c r="CH18" s="10"/>
      <c r="CN18" s="3">
        <v>828</v>
      </c>
      <c r="CO18" s="3">
        <v>3925</v>
      </c>
      <c r="DV18" s="3">
        <v>4204</v>
      </c>
      <c r="DW18" s="3">
        <v>40805</v>
      </c>
      <c r="EK18" s="3">
        <v>1011</v>
      </c>
      <c r="EL18" s="3">
        <v>33598</v>
      </c>
      <c r="EM18" s="5">
        <f t="shared" si="12"/>
        <v>6043</v>
      </c>
      <c r="EN18" s="5">
        <f t="shared" si="13"/>
        <v>78328</v>
      </c>
      <c r="EO18" s="10">
        <f t="shared" si="14"/>
        <v>12.961773953334436</v>
      </c>
      <c r="EY18" s="3">
        <v>191</v>
      </c>
      <c r="EZ18" s="3">
        <v>3927</v>
      </c>
      <c r="FH18" s="3">
        <v>1046</v>
      </c>
      <c r="FI18" s="3">
        <v>4179</v>
      </c>
      <c r="FQ18" s="3">
        <v>154</v>
      </c>
      <c r="FR18" s="3">
        <v>825</v>
      </c>
      <c r="GB18" s="3">
        <v>128</v>
      </c>
      <c r="GC18" s="3">
        <v>778</v>
      </c>
      <c r="GS18" s="3">
        <v>2463</v>
      </c>
      <c r="GT18" s="3">
        <v>13293</v>
      </c>
      <c r="GU18" s="5">
        <f t="shared" si="15"/>
        <v>3982</v>
      </c>
      <c r="GV18" s="5">
        <f t="shared" si="16"/>
        <v>23002</v>
      </c>
      <c r="GW18" s="10">
        <f t="shared" si="17"/>
        <v>5.7764942240080366</v>
      </c>
      <c r="HP18" s="3">
        <v>4402</v>
      </c>
      <c r="HQ18" s="3">
        <v>21779</v>
      </c>
      <c r="ID18" s="3">
        <v>1347</v>
      </c>
      <c r="IE18" s="3">
        <v>6575</v>
      </c>
      <c r="IF18" s="3"/>
      <c r="IK18" s="3">
        <v>165</v>
      </c>
      <c r="IL18" s="3">
        <v>1575</v>
      </c>
      <c r="IN18">
        <v>1</v>
      </c>
      <c r="IO18">
        <v>16</v>
      </c>
      <c r="JF18" s="3">
        <v>2202</v>
      </c>
      <c r="JG18" s="3">
        <v>12810</v>
      </c>
      <c r="JI18" s="5">
        <f t="shared" si="18"/>
        <v>8117</v>
      </c>
      <c r="JJ18" s="5">
        <f t="shared" si="19"/>
        <v>42755</v>
      </c>
      <c r="JK18" s="10">
        <f t="shared" si="20"/>
        <v>5.2673401503018358</v>
      </c>
      <c r="KF18" s="3">
        <v>731</v>
      </c>
      <c r="KG18" s="3">
        <v>4717</v>
      </c>
      <c r="KP18" s="3">
        <v>119</v>
      </c>
      <c r="KQ18" s="3">
        <v>1659</v>
      </c>
      <c r="KS18" s="5">
        <f t="shared" si="21"/>
        <v>850</v>
      </c>
      <c r="KT18" s="5">
        <f t="shared" si="22"/>
        <v>6376</v>
      </c>
      <c r="KU18" s="10">
        <f t="shared" si="23"/>
        <v>7.5011764705882351</v>
      </c>
      <c r="KW18" s="5">
        <f t="shared" si="24"/>
        <v>24969</v>
      </c>
      <c r="KX18" s="5">
        <f t="shared" si="25"/>
        <v>194773</v>
      </c>
      <c r="KY18" s="10">
        <f t="shared" si="26"/>
        <v>7.8005927349913895</v>
      </c>
      <c r="LA18" s="1" t="s">
        <v>294</v>
      </c>
      <c r="LB18">
        <v>4597470</v>
      </c>
      <c r="LD18" s="11">
        <f t="shared" si="27"/>
        <v>5.4310305450606524</v>
      </c>
      <c r="LE18" s="11">
        <f t="shared" si="28"/>
        <v>42.365257413316456</v>
      </c>
    </row>
    <row r="19" spans="1:319" ht="15.75" x14ac:dyDescent="0.25">
      <c r="A19" s="22" t="s">
        <v>372</v>
      </c>
      <c r="B19" s="24" t="s">
        <v>295</v>
      </c>
      <c r="C19" s="1"/>
      <c r="D19" s="1"/>
      <c r="E19">
        <v>2</v>
      </c>
      <c r="F19">
        <v>34</v>
      </c>
      <c r="G19">
        <v>20</v>
      </c>
      <c r="H19">
        <v>161</v>
      </c>
      <c r="N19" s="3">
        <v>143</v>
      </c>
      <c r="O19" s="3">
        <v>645</v>
      </c>
      <c r="P19" s="5">
        <f t="shared" si="0"/>
        <v>165</v>
      </c>
      <c r="Q19" s="5">
        <f t="shared" si="1"/>
        <v>840</v>
      </c>
      <c r="R19" s="10">
        <f t="shared" si="2"/>
        <v>5.0909090909090908</v>
      </c>
      <c r="AA19" s="3">
        <v>389</v>
      </c>
      <c r="AB19" s="3">
        <v>2448</v>
      </c>
      <c r="AF19">
        <v>12</v>
      </c>
      <c r="AG19">
        <v>158</v>
      </c>
      <c r="AM19" s="3">
        <v>26</v>
      </c>
      <c r="AN19" s="3">
        <v>178</v>
      </c>
      <c r="AP19" s="5">
        <f t="shared" si="3"/>
        <v>427</v>
      </c>
      <c r="AQ19" s="5">
        <f t="shared" si="4"/>
        <v>2784</v>
      </c>
      <c r="AR19" s="10">
        <f t="shared" si="5"/>
        <v>6.5199063231850118</v>
      </c>
      <c r="AY19" s="3">
        <v>151</v>
      </c>
      <c r="AZ19" s="3">
        <v>671</v>
      </c>
      <c r="BB19">
        <v>4</v>
      </c>
      <c r="BC19">
        <v>314</v>
      </c>
      <c r="BD19">
        <v>37</v>
      </c>
      <c r="BE19">
        <v>431</v>
      </c>
      <c r="BF19" s="5">
        <f t="shared" si="6"/>
        <v>192</v>
      </c>
      <c r="BG19" s="5">
        <f t="shared" si="7"/>
        <v>1416</v>
      </c>
      <c r="BH19" s="10">
        <f t="shared" si="8"/>
        <v>7.375</v>
      </c>
      <c r="BI19" s="10"/>
      <c r="BO19" s="3">
        <v>13</v>
      </c>
      <c r="BP19" s="3">
        <v>1160</v>
      </c>
      <c r="BX19" s="3">
        <v>25</v>
      </c>
      <c r="BY19" s="3">
        <v>156</v>
      </c>
      <c r="CC19">
        <v>25</v>
      </c>
      <c r="CD19">
        <v>143</v>
      </c>
      <c r="CE19" s="5">
        <f t="shared" si="9"/>
        <v>63</v>
      </c>
      <c r="CF19" s="5">
        <f t="shared" si="10"/>
        <v>1459</v>
      </c>
      <c r="CG19" s="10">
        <f t="shared" si="11"/>
        <v>23.158730158730158</v>
      </c>
      <c r="CH19" s="10"/>
      <c r="CN19" s="3">
        <v>1</v>
      </c>
      <c r="CO19" s="3">
        <v>4</v>
      </c>
      <c r="DV19" s="3">
        <v>373</v>
      </c>
      <c r="DW19" s="3">
        <v>3623</v>
      </c>
      <c r="EK19" s="3">
        <v>77</v>
      </c>
      <c r="EL19" s="3">
        <v>3962</v>
      </c>
      <c r="EM19" s="5">
        <f t="shared" si="12"/>
        <v>451</v>
      </c>
      <c r="EN19" s="5">
        <f t="shared" si="13"/>
        <v>7589</v>
      </c>
      <c r="EO19" s="10">
        <f t="shared" si="14"/>
        <v>16.827050997782706</v>
      </c>
      <c r="EY19" s="3">
        <v>35</v>
      </c>
      <c r="EZ19" s="3">
        <v>147</v>
      </c>
      <c r="FH19" s="3">
        <v>51</v>
      </c>
      <c r="FI19" s="3">
        <v>218</v>
      </c>
      <c r="FQ19" s="3">
        <v>8</v>
      </c>
      <c r="FR19" s="3">
        <v>35</v>
      </c>
      <c r="GB19" s="3">
        <v>10</v>
      </c>
      <c r="GC19" s="3">
        <v>44</v>
      </c>
      <c r="GS19" s="3">
        <v>324</v>
      </c>
      <c r="GT19" s="3">
        <v>1752</v>
      </c>
      <c r="GU19" s="5">
        <f t="shared" si="15"/>
        <v>428</v>
      </c>
      <c r="GV19" s="5">
        <f t="shared" si="16"/>
        <v>2196</v>
      </c>
      <c r="GW19" s="10">
        <f t="shared" si="17"/>
        <v>5.1308411214953269</v>
      </c>
      <c r="HP19" s="3">
        <v>646</v>
      </c>
      <c r="HQ19" s="3">
        <v>2914</v>
      </c>
      <c r="ID19" s="3">
        <v>49</v>
      </c>
      <c r="IE19" s="3">
        <v>270</v>
      </c>
      <c r="IF19" s="3"/>
      <c r="IK19" s="3">
        <v>15</v>
      </c>
      <c r="IL19" s="3">
        <v>238</v>
      </c>
      <c r="JF19" s="3">
        <v>378</v>
      </c>
      <c r="JG19" s="3">
        <v>2300</v>
      </c>
      <c r="JI19" s="5">
        <f t="shared" si="18"/>
        <v>1088</v>
      </c>
      <c r="JJ19" s="5">
        <f t="shared" si="19"/>
        <v>5722</v>
      </c>
      <c r="JK19" s="10">
        <f t="shared" si="20"/>
        <v>5.2591911764705879</v>
      </c>
      <c r="KF19" s="3">
        <v>95</v>
      </c>
      <c r="KG19" s="3">
        <v>618</v>
      </c>
      <c r="KP19" s="3">
        <v>8</v>
      </c>
      <c r="KQ19" s="3">
        <v>89</v>
      </c>
      <c r="KS19" s="5">
        <f t="shared" si="21"/>
        <v>103</v>
      </c>
      <c r="KT19" s="5">
        <f t="shared" si="22"/>
        <v>707</v>
      </c>
      <c r="KU19" s="10">
        <f t="shared" si="23"/>
        <v>6.8640776699029127</v>
      </c>
      <c r="KW19" s="5">
        <f t="shared" si="24"/>
        <v>2917</v>
      </c>
      <c r="KX19" s="5">
        <f t="shared" si="25"/>
        <v>22713</v>
      </c>
      <c r="KY19" s="10">
        <f t="shared" si="26"/>
        <v>7.7864244086390126</v>
      </c>
      <c r="LA19" s="1" t="s">
        <v>295</v>
      </c>
      <c r="LB19">
        <v>456920</v>
      </c>
      <c r="LD19" s="11">
        <f t="shared" si="27"/>
        <v>6.3840497242405672</v>
      </c>
      <c r="LE19" s="11">
        <f t="shared" si="28"/>
        <v>49.708920598791906</v>
      </c>
    </row>
    <row r="20" spans="1:319" ht="15.75" x14ac:dyDescent="0.25">
      <c r="A20" s="22" t="s">
        <v>373</v>
      </c>
      <c r="B20" s="24" t="s">
        <v>296</v>
      </c>
      <c r="C20" s="1"/>
      <c r="D20" s="1"/>
      <c r="G20">
        <v>7</v>
      </c>
      <c r="H20">
        <v>66</v>
      </c>
      <c r="N20" s="3">
        <v>20</v>
      </c>
      <c r="O20" s="3">
        <v>86</v>
      </c>
      <c r="P20" s="5">
        <f t="shared" si="0"/>
        <v>27</v>
      </c>
      <c r="Q20" s="5">
        <f t="shared" si="1"/>
        <v>152</v>
      </c>
      <c r="R20" s="10">
        <f t="shared" si="2"/>
        <v>5.6296296296296298</v>
      </c>
      <c r="AA20" s="3">
        <v>279</v>
      </c>
      <c r="AB20" s="3">
        <v>1035</v>
      </c>
      <c r="AD20">
        <v>11</v>
      </c>
      <c r="AE20">
        <v>70</v>
      </c>
      <c r="AF20">
        <v>63</v>
      </c>
      <c r="AG20">
        <v>644</v>
      </c>
      <c r="AM20" s="3">
        <v>57</v>
      </c>
      <c r="AN20" s="3">
        <v>236</v>
      </c>
      <c r="AP20" s="5">
        <f t="shared" si="3"/>
        <v>410</v>
      </c>
      <c r="AQ20" s="5">
        <f t="shared" si="4"/>
        <v>1985</v>
      </c>
      <c r="AR20" s="10">
        <f t="shared" si="5"/>
        <v>4.8414634146341466</v>
      </c>
      <c r="AY20" s="3">
        <v>5</v>
      </c>
      <c r="AZ20" s="3">
        <v>53</v>
      </c>
      <c r="BD20">
        <v>19</v>
      </c>
      <c r="BE20">
        <v>90</v>
      </c>
      <c r="BF20" s="5">
        <f t="shared" si="6"/>
        <v>24</v>
      </c>
      <c r="BG20" s="5">
        <f t="shared" si="7"/>
        <v>143</v>
      </c>
      <c r="BH20" s="10">
        <f t="shared" si="8"/>
        <v>5.958333333333333</v>
      </c>
      <c r="BI20" s="10"/>
      <c r="BO20" s="3">
        <v>52</v>
      </c>
      <c r="BP20" s="3">
        <v>1959</v>
      </c>
      <c r="BX20" s="3">
        <v>472</v>
      </c>
      <c r="BY20" s="3">
        <v>2266</v>
      </c>
      <c r="CC20">
        <v>1</v>
      </c>
      <c r="CD20">
        <v>39</v>
      </c>
      <c r="CE20" s="5">
        <f t="shared" si="9"/>
        <v>525</v>
      </c>
      <c r="CF20" s="5">
        <f t="shared" si="10"/>
        <v>4264</v>
      </c>
      <c r="CG20" s="10">
        <f t="shared" si="11"/>
        <v>8.1219047619047622</v>
      </c>
      <c r="CH20" s="10"/>
      <c r="CN20" s="3">
        <v>2</v>
      </c>
      <c r="CO20" s="3">
        <v>39</v>
      </c>
      <c r="DV20" s="3">
        <v>744</v>
      </c>
      <c r="DW20" s="3">
        <v>3854</v>
      </c>
      <c r="EK20" s="3">
        <v>260</v>
      </c>
      <c r="EL20" s="3">
        <v>2262</v>
      </c>
      <c r="EM20" s="5">
        <f t="shared" si="12"/>
        <v>1006</v>
      </c>
      <c r="EN20" s="5">
        <f t="shared" si="13"/>
        <v>6155</v>
      </c>
      <c r="EO20" s="10">
        <f t="shared" si="14"/>
        <v>6.1182902584493037</v>
      </c>
      <c r="EY20" s="3">
        <v>6</v>
      </c>
      <c r="EZ20" s="3">
        <v>26</v>
      </c>
      <c r="FH20" s="3">
        <v>19</v>
      </c>
      <c r="FI20" s="3">
        <v>188</v>
      </c>
      <c r="FQ20" s="3">
        <v>20</v>
      </c>
      <c r="FR20" s="3">
        <v>382</v>
      </c>
      <c r="GB20" s="3">
        <v>1</v>
      </c>
      <c r="GC20" s="3">
        <v>20</v>
      </c>
      <c r="GS20" s="3">
        <v>94</v>
      </c>
      <c r="GT20" s="3">
        <v>467</v>
      </c>
      <c r="GU20" s="5">
        <f t="shared" si="15"/>
        <v>140</v>
      </c>
      <c r="GV20" s="5">
        <f t="shared" si="16"/>
        <v>1083</v>
      </c>
      <c r="GW20" s="10">
        <f t="shared" si="17"/>
        <v>7.7357142857142858</v>
      </c>
      <c r="HP20" s="3">
        <v>187</v>
      </c>
      <c r="HQ20" s="3">
        <v>1061</v>
      </c>
      <c r="ID20" s="3">
        <v>44</v>
      </c>
      <c r="IE20" s="3">
        <v>399</v>
      </c>
      <c r="IF20" s="3"/>
      <c r="IK20" s="3">
        <v>5</v>
      </c>
      <c r="IL20" s="3">
        <v>63</v>
      </c>
      <c r="JF20" s="3">
        <v>121</v>
      </c>
      <c r="JG20" s="3">
        <v>710</v>
      </c>
      <c r="JI20" s="5">
        <f t="shared" si="18"/>
        <v>357</v>
      </c>
      <c r="JJ20" s="5">
        <f t="shared" si="19"/>
        <v>2233</v>
      </c>
      <c r="JK20" s="10">
        <f t="shared" si="20"/>
        <v>6.2549019607843137</v>
      </c>
      <c r="KF20" s="3">
        <v>77</v>
      </c>
      <c r="KG20" s="3">
        <v>534</v>
      </c>
      <c r="KP20" s="3">
        <v>7</v>
      </c>
      <c r="KQ20" s="3">
        <v>314</v>
      </c>
      <c r="KS20" s="5">
        <f t="shared" si="21"/>
        <v>84</v>
      </c>
      <c r="KT20" s="5">
        <f t="shared" si="22"/>
        <v>848</v>
      </c>
      <c r="KU20" s="10">
        <f t="shared" si="23"/>
        <v>10.095238095238095</v>
      </c>
      <c r="KW20" s="5">
        <f t="shared" si="24"/>
        <v>2573</v>
      </c>
      <c r="KX20" s="5">
        <f t="shared" si="25"/>
        <v>16863</v>
      </c>
      <c r="KY20" s="10">
        <f t="shared" si="26"/>
        <v>6.5538282160901673</v>
      </c>
      <c r="LA20" s="1" t="s">
        <v>296</v>
      </c>
      <c r="LB20">
        <v>404499</v>
      </c>
      <c r="LD20" s="11">
        <f t="shared" si="27"/>
        <v>6.3609551568730698</v>
      </c>
      <c r="LE20" s="11">
        <f t="shared" si="28"/>
        <v>41.688607388398985</v>
      </c>
    </row>
    <row r="21" spans="1:319" ht="15.75" x14ac:dyDescent="0.25">
      <c r="A21" s="22" t="s">
        <v>377</v>
      </c>
      <c r="B21" s="24" t="s">
        <v>300</v>
      </c>
      <c r="C21" s="1"/>
      <c r="D21" s="1"/>
      <c r="E21">
        <v>29</v>
      </c>
      <c r="F21">
        <v>210</v>
      </c>
      <c r="G21">
        <v>257</v>
      </c>
      <c r="H21">
        <v>3253</v>
      </c>
      <c r="N21" s="3">
        <v>267</v>
      </c>
      <c r="O21" s="3">
        <v>2034</v>
      </c>
      <c r="P21" s="5">
        <f t="shared" si="0"/>
        <v>553</v>
      </c>
      <c r="Q21" s="5">
        <f t="shared" si="1"/>
        <v>5497</v>
      </c>
      <c r="R21" s="10">
        <f t="shared" si="2"/>
        <v>9.9403254972875228</v>
      </c>
      <c r="AA21" s="3">
        <v>2600</v>
      </c>
      <c r="AB21" s="3">
        <v>11221</v>
      </c>
      <c r="AD21">
        <v>407</v>
      </c>
      <c r="AE21">
        <v>5520</v>
      </c>
      <c r="AF21">
        <v>148</v>
      </c>
      <c r="AG21">
        <v>3711</v>
      </c>
      <c r="AM21" s="3">
        <v>204</v>
      </c>
      <c r="AN21" s="3">
        <v>2296</v>
      </c>
      <c r="AP21" s="5">
        <f t="shared" si="3"/>
        <v>3359</v>
      </c>
      <c r="AQ21" s="5">
        <f t="shared" si="4"/>
        <v>22748</v>
      </c>
      <c r="AR21" s="10">
        <f t="shared" si="5"/>
        <v>6.7722536469187258</v>
      </c>
      <c r="AY21" s="3">
        <v>353</v>
      </c>
      <c r="AZ21" s="3">
        <v>2369</v>
      </c>
      <c r="BB21">
        <v>34</v>
      </c>
      <c r="BC21">
        <v>5659</v>
      </c>
      <c r="BD21">
        <v>488</v>
      </c>
      <c r="BE21">
        <v>3297</v>
      </c>
      <c r="BF21" s="5">
        <f t="shared" si="6"/>
        <v>875</v>
      </c>
      <c r="BG21" s="5">
        <f t="shared" si="7"/>
        <v>11325</v>
      </c>
      <c r="BH21" s="10">
        <f t="shared" si="8"/>
        <v>12.942857142857143</v>
      </c>
      <c r="BI21" s="10"/>
      <c r="BO21" s="3">
        <v>726</v>
      </c>
      <c r="BP21" s="3">
        <v>15544</v>
      </c>
      <c r="BX21" s="3">
        <v>205</v>
      </c>
      <c r="BY21" s="3">
        <v>8181</v>
      </c>
      <c r="CA21">
        <v>14</v>
      </c>
      <c r="CB21">
        <v>629</v>
      </c>
      <c r="CC21">
        <v>66</v>
      </c>
      <c r="CD21">
        <v>504</v>
      </c>
      <c r="CE21" s="5">
        <f t="shared" si="9"/>
        <v>1011</v>
      </c>
      <c r="CF21" s="5">
        <f t="shared" si="10"/>
        <v>24858</v>
      </c>
      <c r="CG21" s="10">
        <f t="shared" si="11"/>
        <v>24.587537091988132</v>
      </c>
      <c r="CH21" s="10"/>
      <c r="CN21" s="3">
        <v>29</v>
      </c>
      <c r="CO21" s="3">
        <v>154</v>
      </c>
      <c r="DV21" s="3">
        <v>6262</v>
      </c>
      <c r="DW21" s="3">
        <v>50015</v>
      </c>
      <c r="EK21" s="3">
        <v>240</v>
      </c>
      <c r="EL21" s="3">
        <v>6623</v>
      </c>
      <c r="EM21" s="5">
        <f t="shared" si="12"/>
        <v>6531</v>
      </c>
      <c r="EN21" s="5">
        <f t="shared" si="13"/>
        <v>56792</v>
      </c>
      <c r="EO21" s="10">
        <f t="shared" si="14"/>
        <v>8.6957586893278211</v>
      </c>
      <c r="ER21">
        <v>1147</v>
      </c>
      <c r="ES21">
        <v>19968</v>
      </c>
      <c r="EY21" s="3">
        <v>56</v>
      </c>
      <c r="EZ21" s="3">
        <v>1796</v>
      </c>
      <c r="FH21" s="3">
        <v>726</v>
      </c>
      <c r="FI21" s="3">
        <v>4140</v>
      </c>
      <c r="FQ21" s="3">
        <v>507</v>
      </c>
      <c r="FR21" s="3">
        <v>2571</v>
      </c>
      <c r="GB21" s="3">
        <v>66</v>
      </c>
      <c r="GC21" s="3">
        <v>1073</v>
      </c>
      <c r="GS21" s="3">
        <v>2442</v>
      </c>
      <c r="GT21" s="3">
        <v>8910</v>
      </c>
      <c r="GU21" s="5">
        <f t="shared" si="15"/>
        <v>4944</v>
      </c>
      <c r="GV21" s="5">
        <f t="shared" si="16"/>
        <v>38458</v>
      </c>
      <c r="GW21" s="10">
        <f t="shared" si="17"/>
        <v>7.7787216828478964</v>
      </c>
      <c r="HP21" s="3">
        <v>3070</v>
      </c>
      <c r="HQ21" s="3">
        <v>14122</v>
      </c>
      <c r="ID21" s="3">
        <v>370</v>
      </c>
      <c r="IE21" s="3">
        <v>4276</v>
      </c>
      <c r="IF21" s="3"/>
      <c r="IK21" s="3">
        <v>161</v>
      </c>
      <c r="IL21" s="3">
        <v>2685</v>
      </c>
      <c r="IN21">
        <v>91</v>
      </c>
      <c r="IO21">
        <v>594</v>
      </c>
      <c r="JF21" s="3">
        <v>3390</v>
      </c>
      <c r="JG21" s="3">
        <v>13362</v>
      </c>
      <c r="JI21" s="5">
        <f t="shared" si="18"/>
        <v>7082</v>
      </c>
      <c r="JJ21" s="5">
        <f t="shared" si="19"/>
        <v>35039</v>
      </c>
      <c r="JK21" s="10">
        <f t="shared" si="20"/>
        <v>4.9476136684552383</v>
      </c>
      <c r="KF21" s="3">
        <v>1356</v>
      </c>
      <c r="KG21" s="3">
        <v>5339</v>
      </c>
      <c r="KP21" s="3">
        <v>110</v>
      </c>
      <c r="KQ21" s="3">
        <v>2179</v>
      </c>
      <c r="KS21" s="5">
        <f t="shared" si="21"/>
        <v>1466</v>
      </c>
      <c r="KT21" s="5">
        <f t="shared" si="22"/>
        <v>7518</v>
      </c>
      <c r="KU21" s="10">
        <f t="shared" si="23"/>
        <v>5.1282401091405188</v>
      </c>
      <c r="KW21" s="5">
        <f t="shared" si="24"/>
        <v>25821</v>
      </c>
      <c r="KX21" s="5">
        <f t="shared" si="25"/>
        <v>202235</v>
      </c>
      <c r="KY21" s="10">
        <f t="shared" si="26"/>
        <v>7.8321908524069555</v>
      </c>
      <c r="LA21" s="1" t="s">
        <v>300</v>
      </c>
      <c r="LB21">
        <v>2446056</v>
      </c>
      <c r="LD21" s="11">
        <f t="shared" si="27"/>
        <v>10.556176964059693</v>
      </c>
      <c r="LE21" s="11">
        <f t="shared" si="28"/>
        <v>82.67799265429737</v>
      </c>
    </row>
    <row r="22" spans="1:319" ht="15.75" x14ac:dyDescent="0.25">
      <c r="A22" s="22" t="s">
        <v>378</v>
      </c>
      <c r="B22" s="24" t="s">
        <v>301</v>
      </c>
      <c r="C22" s="1"/>
      <c r="D22" s="1"/>
      <c r="E22">
        <f>SUM(E7:E20)</f>
        <v>760</v>
      </c>
      <c r="F22">
        <f>SUM(F7:F20)</f>
        <v>42900</v>
      </c>
      <c r="G22">
        <f>SUM(G7:G20)</f>
        <v>4029</v>
      </c>
      <c r="H22">
        <f>SUM(H7:H20)</f>
        <v>47846</v>
      </c>
      <c r="N22" s="3">
        <f>SUM(N7:N20)</f>
        <v>9726</v>
      </c>
      <c r="O22" s="3">
        <f>SUM(O7:O20)</f>
        <v>57694</v>
      </c>
      <c r="P22" s="5">
        <f>SUM(P7:P20)</f>
        <v>14515</v>
      </c>
      <c r="Q22" s="5">
        <f>SUM(Q7:Q20)</f>
        <v>148440</v>
      </c>
      <c r="R22" s="10">
        <f t="shared" si="2"/>
        <v>10.226662073716845</v>
      </c>
      <c r="AA22" s="3">
        <f>SUM(AA7:AA20)</f>
        <v>38127</v>
      </c>
      <c r="AB22" s="3">
        <f>SUM(AB7:AB20)</f>
        <v>418493</v>
      </c>
      <c r="AD22">
        <f>SUM(AD7:AD20)</f>
        <v>970</v>
      </c>
      <c r="AE22">
        <f>SUM(AE7:AE20)</f>
        <v>15499</v>
      </c>
      <c r="AF22">
        <f>SUM(AF7:AF20)</f>
        <v>1601</v>
      </c>
      <c r="AG22">
        <f>SUM(AG7:AG20)</f>
        <v>41208</v>
      </c>
      <c r="AM22" s="3">
        <f>SUM(AM7:AM20)</f>
        <v>4106</v>
      </c>
      <c r="AN22" s="3">
        <f>SUM(AN7:AN20)</f>
        <v>72327</v>
      </c>
      <c r="AP22" s="5">
        <f t="shared" si="3"/>
        <v>44804</v>
      </c>
      <c r="AQ22" s="5">
        <f t="shared" si="4"/>
        <v>547527</v>
      </c>
      <c r="AR22" s="10">
        <f t="shared" si="5"/>
        <v>12.220493705919115</v>
      </c>
      <c r="AY22" s="3">
        <f>SUM(AY7:AY20)</f>
        <v>9255</v>
      </c>
      <c r="AZ22" s="3">
        <f>SUM(AZ7:AZ20)</f>
        <v>103021</v>
      </c>
      <c r="BB22">
        <f>SUM(BB7:BB20)</f>
        <v>760</v>
      </c>
      <c r="BC22">
        <f>SUM(BC7:BC20)</f>
        <v>29072</v>
      </c>
      <c r="BD22">
        <f>SUM(BD7:BD20)</f>
        <v>3170</v>
      </c>
      <c r="BE22">
        <f>SUM(BE7:BE20)</f>
        <v>36212</v>
      </c>
      <c r="BF22" s="5">
        <f t="shared" si="6"/>
        <v>13185</v>
      </c>
      <c r="BG22" s="5">
        <f t="shared" si="7"/>
        <v>168305</v>
      </c>
      <c r="BH22" s="10">
        <f t="shared" si="8"/>
        <v>12.764884338263178</v>
      </c>
      <c r="BI22" s="10"/>
      <c r="BO22" s="3">
        <f>SUM(BO7:BO20)</f>
        <v>2750</v>
      </c>
      <c r="BP22" s="3">
        <f>SUM(BP7:BP20)</f>
        <v>100929</v>
      </c>
      <c r="BX22" s="3">
        <f>SUM(BX7:BX20)</f>
        <v>3917</v>
      </c>
      <c r="BY22" s="3">
        <f>SUM(BY7:BY20)</f>
        <v>133928</v>
      </c>
      <c r="CA22">
        <f>SUM(CA7:CA20)</f>
        <v>145</v>
      </c>
      <c r="CB22">
        <f>SUM(CB7:CB20)</f>
        <v>9913</v>
      </c>
      <c r="CC22">
        <f>SUM(CC7:CC20)</f>
        <v>2017</v>
      </c>
      <c r="CD22">
        <f>SUM(CD7:CD20)</f>
        <v>23440</v>
      </c>
      <c r="CE22" s="5">
        <f t="shared" si="9"/>
        <v>8829</v>
      </c>
      <c r="CF22" s="5">
        <f t="shared" si="10"/>
        <v>268210</v>
      </c>
      <c r="CG22" s="10">
        <f t="shared" si="11"/>
        <v>30.37829878808472</v>
      </c>
      <c r="CH22" s="10"/>
      <c r="CN22" s="3">
        <f>SUM(CN7:CN20)</f>
        <v>4411</v>
      </c>
      <c r="CO22" s="3">
        <f>SUM(CO7:CO20)</f>
        <v>43802</v>
      </c>
      <c r="DV22" s="3">
        <f>SUM(DV7:DV20)</f>
        <v>52453</v>
      </c>
      <c r="DW22" s="3">
        <f>SUM(DW7:DW20)</f>
        <v>1036427</v>
      </c>
      <c r="EK22" s="3">
        <f>SUM(EK7:EK20)</f>
        <v>7675</v>
      </c>
      <c r="EL22" s="3">
        <f>SUM(EL7:EL20)</f>
        <v>474368</v>
      </c>
      <c r="EM22" s="5">
        <f t="shared" si="12"/>
        <v>64539</v>
      </c>
      <c r="EN22" s="5">
        <f t="shared" si="13"/>
        <v>1554597</v>
      </c>
      <c r="EO22" s="10">
        <f t="shared" si="14"/>
        <v>24.087714405243343</v>
      </c>
      <c r="ER22">
        <f>SUM(ER7:ER20)</f>
        <v>619</v>
      </c>
      <c r="ES22">
        <f>SUM(ES7:ES20)</f>
        <v>36421</v>
      </c>
      <c r="EY22" s="3">
        <f>SUM(EY7:EY20)</f>
        <v>5034</v>
      </c>
      <c r="EZ22" s="3">
        <f>SUM(EZ7:EZ20)</f>
        <v>143168</v>
      </c>
      <c r="FH22" s="3">
        <f>SUM(FH7:FH20)</f>
        <v>21163</v>
      </c>
      <c r="FI22" s="3">
        <f>SUM(FI7:FI20)</f>
        <v>224586</v>
      </c>
      <c r="FQ22" s="3">
        <f>SUM(FQ7:FQ20)</f>
        <v>5893</v>
      </c>
      <c r="FR22" s="3">
        <f>SUM(FR7:FR20)</f>
        <v>269140</v>
      </c>
      <c r="GB22" s="3">
        <f>SUM(GB7:GB20)</f>
        <v>3748</v>
      </c>
      <c r="GC22" s="3">
        <f>SUM(GC7:GC20)</f>
        <v>53382</v>
      </c>
      <c r="GS22" s="3">
        <f>SUM(GS7:GS20)</f>
        <v>46101</v>
      </c>
      <c r="GT22" s="3">
        <f>SUM(GT7:GT20)</f>
        <v>276580</v>
      </c>
      <c r="GU22" s="5">
        <f t="shared" si="15"/>
        <v>82558</v>
      </c>
      <c r="GV22" s="5">
        <f t="shared" si="16"/>
        <v>1003277</v>
      </c>
      <c r="GW22" s="10">
        <f t="shared" si="17"/>
        <v>12.152389835025073</v>
      </c>
      <c r="HP22" s="3">
        <f>SUM(HP7:HP20)</f>
        <v>65432</v>
      </c>
      <c r="HQ22" s="3">
        <f>SUM(HQ7:HQ20)</f>
        <v>397076</v>
      </c>
      <c r="ID22" s="3">
        <f>SUM(ID7:ID20)</f>
        <v>7866</v>
      </c>
      <c r="IE22" s="3">
        <f>SUM(IE7:IE20)</f>
        <v>69136</v>
      </c>
      <c r="IF22" s="3"/>
      <c r="IK22" s="3">
        <f>SUM(IK7:IK20)</f>
        <v>2356</v>
      </c>
      <c r="IL22" s="3">
        <f>SUM(IL7:IL20)</f>
        <v>60979</v>
      </c>
      <c r="IN22">
        <f>SUM(IN7:IN20)</f>
        <v>298</v>
      </c>
      <c r="IO22">
        <f>SUM(IO7:IO20)</f>
        <v>7834</v>
      </c>
      <c r="JF22" s="3">
        <f>SUM(JF7:JF20)</f>
        <v>42004</v>
      </c>
      <c r="JG22" s="3">
        <f>SUM(JG7:JG20)</f>
        <v>296921</v>
      </c>
      <c r="JI22" s="5">
        <f t="shared" si="18"/>
        <v>117956</v>
      </c>
      <c r="JJ22" s="5">
        <f t="shared" si="19"/>
        <v>831946</v>
      </c>
      <c r="JK22" s="10">
        <f t="shared" si="20"/>
        <v>7.0530197700837602</v>
      </c>
      <c r="KF22" s="3">
        <f>SUM(KF7:KF20)</f>
        <v>9243</v>
      </c>
      <c r="KG22" s="3">
        <f>SUM(KG7:KG20)</f>
        <v>159266</v>
      </c>
      <c r="KP22" s="3">
        <f>SUM(KP7:KP20)</f>
        <v>1423</v>
      </c>
      <c r="KQ22" s="3">
        <f>SUM(KQ7:KQ20)</f>
        <v>43583</v>
      </c>
      <c r="KS22" s="5">
        <f t="shared" si="21"/>
        <v>10666</v>
      </c>
      <c r="KT22" s="5">
        <f t="shared" si="22"/>
        <v>202849</v>
      </c>
      <c r="KU22" s="10">
        <f t="shared" si="23"/>
        <v>19.018282392649542</v>
      </c>
      <c r="KW22" s="5">
        <f t="shared" si="24"/>
        <v>357052</v>
      </c>
      <c r="KX22" s="5">
        <f t="shared" si="25"/>
        <v>4725151</v>
      </c>
      <c r="KY22" s="10">
        <f t="shared" si="26"/>
        <v>13.233789476042706</v>
      </c>
      <c r="LA22" s="1" t="s">
        <v>301</v>
      </c>
      <c r="LB22">
        <f>SUM(LB7:LB20)</f>
        <v>18224500</v>
      </c>
      <c r="LD22" s="11">
        <f t="shared" si="27"/>
        <v>19.591868089659524</v>
      </c>
      <c r="LE22" s="11">
        <f t="shared" si="28"/>
        <v>259.2746577409531</v>
      </c>
    </row>
    <row r="23" spans="1:319" ht="15.75" x14ac:dyDescent="0.25">
      <c r="B23" s="24"/>
      <c r="C23" s="1"/>
      <c r="D23" s="1"/>
      <c r="N23" s="3"/>
      <c r="O23" s="3"/>
      <c r="P23" s="5"/>
      <c r="Q23" s="5"/>
      <c r="R23" s="10"/>
      <c r="AA23" s="3"/>
      <c r="AB23" s="3"/>
      <c r="AM23" s="3"/>
      <c r="AN23" s="3"/>
      <c r="AP23" s="5"/>
      <c r="AQ23" s="5"/>
      <c r="AR23" s="10"/>
      <c r="AY23" s="3"/>
      <c r="AZ23" s="3"/>
      <c r="BF23" s="5"/>
      <c r="BG23" s="5"/>
      <c r="BH23" s="10"/>
      <c r="BI23" s="10"/>
      <c r="BO23" s="3"/>
      <c r="BP23" s="3"/>
      <c r="BX23" s="3"/>
      <c r="BY23" s="3"/>
      <c r="CE23" s="5"/>
      <c r="CF23" s="5"/>
      <c r="CG23" s="10"/>
      <c r="CH23" s="10"/>
      <c r="CN23" s="3"/>
      <c r="CO23" s="3"/>
      <c r="DV23" s="3"/>
      <c r="DW23" s="3"/>
      <c r="EK23" s="3"/>
      <c r="EL23" s="3"/>
      <c r="EM23" s="5"/>
      <c r="EN23" s="5"/>
      <c r="EO23" s="10"/>
      <c r="EY23" s="3"/>
      <c r="EZ23" s="3"/>
      <c r="FH23" s="3"/>
      <c r="FI23" s="3"/>
      <c r="FQ23" s="3"/>
      <c r="FR23" s="3"/>
      <c r="GB23" s="3"/>
      <c r="GC23" s="3"/>
      <c r="GS23" s="3"/>
      <c r="GT23" s="3"/>
      <c r="GU23" s="5"/>
      <c r="GV23" s="5"/>
      <c r="GW23" s="10"/>
      <c r="HP23" s="3"/>
      <c r="HQ23" s="3"/>
      <c r="ID23" s="3"/>
      <c r="IE23" s="3"/>
      <c r="IF23" s="3"/>
      <c r="IK23" s="3"/>
      <c r="IL23" s="3"/>
      <c r="JF23" s="3"/>
      <c r="JG23" s="3"/>
      <c r="JI23" s="5"/>
      <c r="JJ23" s="5"/>
      <c r="JK23" s="10"/>
      <c r="KF23" s="3"/>
      <c r="KG23" s="3"/>
      <c r="KP23" s="3"/>
      <c r="KQ23" s="3"/>
      <c r="KS23" s="5"/>
      <c r="KT23" s="5"/>
      <c r="KU23" s="10"/>
      <c r="KW23" s="5"/>
      <c r="KX23" s="5"/>
      <c r="KY23" s="10"/>
      <c r="LA23" s="1"/>
      <c r="LD23" s="11"/>
      <c r="LE23" s="11"/>
    </row>
    <row r="24" spans="1:319" ht="15.75" x14ac:dyDescent="0.25">
      <c r="A24" s="22" t="s">
        <v>379</v>
      </c>
      <c r="B24" s="24" t="s">
        <v>302</v>
      </c>
      <c r="C24" s="1"/>
      <c r="D24" s="1"/>
      <c r="E24">
        <f>1+3+10+1+3+26</f>
        <v>44</v>
      </c>
      <c r="F24">
        <f>32+53+134+2+20+1660</f>
        <v>1901</v>
      </c>
      <c r="G24">
        <f>70+2+8+11+5+4+3+23+4+9</f>
        <v>139</v>
      </c>
      <c r="H24">
        <f>825+8+68+123+36+18+9+335+16+78</f>
        <v>1516</v>
      </c>
      <c r="J24">
        <f>1+4</f>
        <v>5</v>
      </c>
      <c r="K24">
        <f>9+283</f>
        <v>292</v>
      </c>
      <c r="L24">
        <v>40</v>
      </c>
      <c r="M24">
        <v>588</v>
      </c>
      <c r="N24" s="3">
        <f t="shared" ref="N24:N63" si="29">J24+L24</f>
        <v>45</v>
      </c>
      <c r="O24" s="3">
        <f t="shared" ref="O24:O63" si="30">K24+M24</f>
        <v>880</v>
      </c>
      <c r="P24" s="5">
        <f t="shared" ref="P24:P63" si="31">E24+G24+J24+L24</f>
        <v>228</v>
      </c>
      <c r="Q24" s="5">
        <f t="shared" ref="Q24:Q63" si="32">F24+H24+K24+M24</f>
        <v>4297</v>
      </c>
      <c r="R24" s="10">
        <f t="shared" ref="R24:R63" si="33">Q24/P24</f>
        <v>18.846491228070175</v>
      </c>
      <c r="U24">
        <f>4+3+9+4+3+8+7+18+6+2+11+1+1</f>
        <v>77</v>
      </c>
      <c r="V24">
        <f>732+18+196+66+54+84+69+212+86+10+63+14+15</f>
        <v>1619</v>
      </c>
      <c r="W24">
        <f>55+5+9</f>
        <v>69</v>
      </c>
      <c r="X24">
        <f>1054+73+125</f>
        <v>1252</v>
      </c>
      <c r="Y24">
        <v>140</v>
      </c>
      <c r="Z24">
        <v>2216</v>
      </c>
      <c r="AA24" s="3">
        <f t="shared" ref="AA24:AA63" si="34">U24+W24+Y24</f>
        <v>286</v>
      </c>
      <c r="AB24" s="3">
        <f t="shared" ref="AB24:AB63" si="35">V24+X24+Z24</f>
        <v>5087</v>
      </c>
      <c r="AD24">
        <f>13+8+1</f>
        <v>22</v>
      </c>
      <c r="AE24">
        <f>411+94+9</f>
        <v>514</v>
      </c>
      <c r="AF24">
        <f>6+1+101</f>
        <v>108</v>
      </c>
      <c r="AG24">
        <f>68+2919+2</f>
        <v>2989</v>
      </c>
      <c r="AI24">
        <f>2+1+1+5+9+1+21+4+1+6+18</f>
        <v>69</v>
      </c>
      <c r="AJ24">
        <f>20+4+3+48+68+6+277+132+21+70+159</f>
        <v>808</v>
      </c>
      <c r="AK24">
        <v>64</v>
      </c>
      <c r="AL24">
        <v>823</v>
      </c>
      <c r="AM24" s="3">
        <f t="shared" ref="AM24:AM63" si="36">AI24+AK24</f>
        <v>133</v>
      </c>
      <c r="AN24" s="3">
        <f t="shared" ref="AN24:AN63" si="37">AJ24+AL24</f>
        <v>1631</v>
      </c>
      <c r="AP24" s="5">
        <f t="shared" ref="AP24:AP63" si="38">U24+W24+Y24+AD24+AF24+AI24+AK24</f>
        <v>549</v>
      </c>
      <c r="AQ24" s="5">
        <f t="shared" ref="AQ24:AQ63" si="39">V24+X24+Z24+AE24+AG24+AJ24+AL24</f>
        <v>10221</v>
      </c>
      <c r="AR24" s="10">
        <f t="shared" ref="AR24:AR63" si="40">AQ24/AP24</f>
        <v>18.617486338797814</v>
      </c>
      <c r="AU24">
        <v>2</v>
      </c>
      <c r="AV24">
        <v>5</v>
      </c>
      <c r="AW24">
        <v>16</v>
      </c>
      <c r="AX24">
        <v>495</v>
      </c>
      <c r="AY24" s="3">
        <f t="shared" ref="AY24:AY63" si="41">AU24+AW24</f>
        <v>18</v>
      </c>
      <c r="AZ24" s="3">
        <f t="shared" ref="AZ24:AZ63" si="42">AV24+AX24</f>
        <v>500</v>
      </c>
      <c r="BB24" s="12">
        <f>3+3</f>
        <v>6</v>
      </c>
      <c r="BC24" s="12">
        <f>283+18</f>
        <v>301</v>
      </c>
      <c r="BD24" s="12">
        <f>2+74+2</f>
        <v>78</v>
      </c>
      <c r="BE24" s="12">
        <f>35+705+107</f>
        <v>847</v>
      </c>
      <c r="BF24" s="13">
        <f t="shared" ref="BF24:BF63" si="43">AU24+AW24+BB24+BD24</f>
        <v>102</v>
      </c>
      <c r="BG24" s="13">
        <f t="shared" ref="BG24:BG63" si="44">AV24+AX24+BC24+BE24</f>
        <v>1648</v>
      </c>
      <c r="BH24" s="10">
        <f t="shared" ref="BH24:BH63" si="45">BG24/BF24</f>
        <v>16.156862745098039</v>
      </c>
      <c r="BI24" s="10"/>
      <c r="BJ24" s="12"/>
      <c r="BK24" s="12">
        <f>6+1+4</f>
        <v>11</v>
      </c>
      <c r="BL24" s="12">
        <f>34+17+178</f>
        <v>229</v>
      </c>
      <c r="BM24" s="12">
        <v>24</v>
      </c>
      <c r="BN24" s="12">
        <v>2187</v>
      </c>
      <c r="BO24" s="14">
        <f t="shared" ref="BO24:BO63" si="46">BK24+BM24</f>
        <v>35</v>
      </c>
      <c r="BP24" s="14">
        <f t="shared" ref="BP24:BP63" si="47">BL24+BN24</f>
        <v>2416</v>
      </c>
      <c r="BQ24" s="12"/>
      <c r="BR24" s="12">
        <f>2+8+9</f>
        <v>19</v>
      </c>
      <c r="BS24" s="12">
        <f>158+626+539</f>
        <v>1323</v>
      </c>
      <c r="BT24" s="12">
        <v>32</v>
      </c>
      <c r="BU24" s="12">
        <v>786</v>
      </c>
      <c r="BV24" s="12">
        <v>1</v>
      </c>
      <c r="BW24" s="12">
        <v>1824</v>
      </c>
      <c r="BX24" s="14">
        <f t="shared" ref="BX24:BX63" si="48">BR24+BT24+BV24</f>
        <v>52</v>
      </c>
      <c r="BY24" s="14">
        <f t="shared" ref="BY24:BY63" si="49">BS24+BU24+BW24</f>
        <v>3933</v>
      </c>
      <c r="BZ24" s="12"/>
      <c r="CA24" s="12">
        <v>1</v>
      </c>
      <c r="CB24" s="12">
        <v>60</v>
      </c>
      <c r="CC24" s="12">
        <f>3+3+16+7+2+24+2</f>
        <v>57</v>
      </c>
      <c r="CD24" s="12">
        <f>128+865+625+150+11+227+44</f>
        <v>2050</v>
      </c>
      <c r="CE24" s="13">
        <f t="shared" ref="CE24:CE63" si="50">BK24+BM24+BR24+BT24+BV24+CA24+CC24</f>
        <v>145</v>
      </c>
      <c r="CF24" s="13">
        <f t="shared" ref="CF24:CF63" si="51">BL24+BN24+BS24+BU24+BW24+CB24+CD24</f>
        <v>8459</v>
      </c>
      <c r="CG24" s="10">
        <f t="shared" ref="CG24:CG63" si="52">CF24/CE24</f>
        <v>58.337931034482757</v>
      </c>
      <c r="CH24" s="10"/>
      <c r="CI24" s="12"/>
      <c r="CJ24" s="12">
        <v>16</v>
      </c>
      <c r="CK24" s="12">
        <v>164</v>
      </c>
      <c r="CL24" s="12">
        <v>154</v>
      </c>
      <c r="CM24" s="12">
        <v>2436</v>
      </c>
      <c r="CN24" s="14">
        <f t="shared" ref="CN24:CN59" si="53">CJ24+CL24</f>
        <v>170</v>
      </c>
      <c r="CO24" s="14">
        <f t="shared" ref="CO24:CO59" si="54">CK24+CM24</f>
        <v>2600</v>
      </c>
      <c r="CP24" s="12"/>
      <c r="CQ24" s="12"/>
      <c r="CR24" s="12">
        <v>1</v>
      </c>
      <c r="CS24">
        <v>10</v>
      </c>
      <c r="CT24">
        <v>170</v>
      </c>
      <c r="CU24">
        <v>3137</v>
      </c>
      <c r="CV24">
        <v>4</v>
      </c>
      <c r="CW24">
        <v>15094</v>
      </c>
      <c r="CX24">
        <f>127+81</f>
        <v>208</v>
      </c>
      <c r="CY24">
        <f>2890+634</f>
        <v>3524</v>
      </c>
      <c r="CZ24">
        <v>2</v>
      </c>
      <c r="DA24">
        <v>25</v>
      </c>
      <c r="DD24">
        <v>1</v>
      </c>
      <c r="DE24">
        <v>9</v>
      </c>
      <c r="DF24">
        <v>1</v>
      </c>
      <c r="DG24">
        <v>10</v>
      </c>
      <c r="DH24">
        <v>3</v>
      </c>
      <c r="DI24">
        <v>74</v>
      </c>
      <c r="DJ24">
        <v>45</v>
      </c>
      <c r="DK24">
        <v>891</v>
      </c>
      <c r="DL24">
        <v>1</v>
      </c>
      <c r="DM24">
        <v>7</v>
      </c>
      <c r="DN24">
        <v>17</v>
      </c>
      <c r="DO24">
        <v>199</v>
      </c>
      <c r="DT24">
        <v>15</v>
      </c>
      <c r="DU24">
        <v>251</v>
      </c>
      <c r="DV24" s="3">
        <f t="shared" ref="DV24:DV63" si="55">CR24+CT24+CV24+CX24+CZ24+DB24+DD24+DF24+DH24+DJ24+DL24+DN24+DP24+DR24+DT24</f>
        <v>468</v>
      </c>
      <c r="DW24" s="3">
        <f t="shared" ref="DW24:DW63" si="56">CS24+CU24+CW24+CY24+DA24+DC24+DE24+DG24+DI24+DK24+DM24+DO24+DQ24+DS24+DU24</f>
        <v>23231</v>
      </c>
      <c r="DY24">
        <v>9</v>
      </c>
      <c r="DZ24">
        <v>3541</v>
      </c>
      <c r="EC24">
        <v>2</v>
      </c>
      <c r="ED24">
        <v>20</v>
      </c>
      <c r="EG24">
        <v>136</v>
      </c>
      <c r="EH24">
        <v>4162</v>
      </c>
      <c r="EI24">
        <v>3</v>
      </c>
      <c r="EJ24">
        <v>49</v>
      </c>
      <c r="EK24" s="3">
        <f t="shared" ref="EK24:EK59" si="57">DY24+EA24+EC24+EE24+EG24+EI24</f>
        <v>150</v>
      </c>
      <c r="EL24" s="3">
        <f t="shared" ref="EL24:EL59" si="58">DZ24+EB24+ED24+EF24+EH24+EJ24</f>
        <v>7772</v>
      </c>
      <c r="EM24" s="5">
        <f t="shared" ref="EM24:EM63" si="59">CN24+DV24+EK24</f>
        <v>788</v>
      </c>
      <c r="EN24" s="5">
        <f t="shared" ref="EN24:EN63" si="60">CO24+DW24+EL24</f>
        <v>33603</v>
      </c>
      <c r="EO24" s="10">
        <f t="shared" ref="EO24:EO63" si="61">EN24/EM24</f>
        <v>42.643401015228427</v>
      </c>
      <c r="ER24">
        <f>2+7</f>
        <v>9</v>
      </c>
      <c r="ES24">
        <f>13+152</f>
        <v>165</v>
      </c>
      <c r="EU24">
        <f>2+1+12</f>
        <v>15</v>
      </c>
      <c r="EV24">
        <f>6+3+231</f>
        <v>240</v>
      </c>
      <c r="EY24" s="3">
        <f t="shared" ref="EY24:EY63" si="62">EU24+EW24</f>
        <v>15</v>
      </c>
      <c r="EZ24" s="3">
        <f t="shared" ref="EZ24:EZ63" si="63">EV24+EX24</f>
        <v>240</v>
      </c>
      <c r="FD24">
        <v>28</v>
      </c>
      <c r="FE24">
        <v>312</v>
      </c>
      <c r="FF24">
        <v>13</v>
      </c>
      <c r="FG24">
        <v>302</v>
      </c>
      <c r="FH24" s="3">
        <f t="shared" ref="FH24:FH63" si="64">FB24+FD24+FF24</f>
        <v>41</v>
      </c>
      <c r="FI24" s="3">
        <f t="shared" ref="FI24:FI63" si="65">FC24+FE24+FG24</f>
        <v>614</v>
      </c>
      <c r="FK24">
        <f>13+1+1+1</f>
        <v>16</v>
      </c>
      <c r="FL24">
        <f>302+12+13+2</f>
        <v>329</v>
      </c>
      <c r="FO24">
        <v>20</v>
      </c>
      <c r="FP24">
        <v>411</v>
      </c>
      <c r="FQ24" s="3">
        <f t="shared" ref="FQ24:FQ63" si="66">FK24+FM24+FO24</f>
        <v>36</v>
      </c>
      <c r="FR24" s="3">
        <f t="shared" ref="FR24:FR63" si="67">FL24+FN24+FP24</f>
        <v>740</v>
      </c>
      <c r="FT24">
        <f>12+3+6+1</f>
        <v>22</v>
      </c>
      <c r="FU24">
        <f>311+60+94+3</f>
        <v>468</v>
      </c>
      <c r="FV24">
        <v>13</v>
      </c>
      <c r="FW24">
        <v>100</v>
      </c>
      <c r="FX24">
        <v>85</v>
      </c>
      <c r="FY24">
        <v>708</v>
      </c>
      <c r="FZ24">
        <v>65</v>
      </c>
      <c r="GA24">
        <v>611</v>
      </c>
      <c r="GB24" s="3">
        <f t="shared" ref="GB24:GB63" si="68">FT24+FV24+FX24+FZ24</f>
        <v>185</v>
      </c>
      <c r="GC24" s="3">
        <f t="shared" ref="GC24:GC63" si="69">FU24+FW24+FY24+GA24</f>
        <v>1887</v>
      </c>
      <c r="GE24">
        <f>2+12+2+16+3+17+1+20+2</f>
        <v>75</v>
      </c>
      <c r="GF24">
        <f>112+253+18+78+14+34+4+247+20</f>
        <v>780</v>
      </c>
      <c r="GG24">
        <v>19</v>
      </c>
      <c r="GH24">
        <v>201</v>
      </c>
      <c r="GI24">
        <v>327</v>
      </c>
      <c r="GJ24">
        <v>404</v>
      </c>
      <c r="GK24">
        <f>1078+2</f>
        <v>1080</v>
      </c>
      <c r="GL24">
        <f>10757+18</f>
        <v>10775</v>
      </c>
      <c r="GO24">
        <v>76</v>
      </c>
      <c r="GP24">
        <v>896</v>
      </c>
      <c r="GQ24">
        <v>35</v>
      </c>
      <c r="GR24">
        <v>305</v>
      </c>
      <c r="GS24" s="3">
        <f t="shared" ref="GS24:GS59" si="70">GE24+GG24+GI24+GK24+GM24+GO24+GQ24</f>
        <v>1612</v>
      </c>
      <c r="GT24" s="3">
        <f t="shared" ref="GT24:GT59" si="71">GF24+GH24+GJ24+GL24+GN24+GP24+GR24</f>
        <v>13361</v>
      </c>
      <c r="GU24" s="5">
        <f t="shared" ref="GU24:GU63" si="72">ER24+EY24+FH24+FQ24+GB24+GS24</f>
        <v>1898</v>
      </c>
      <c r="GV24" s="5">
        <f t="shared" ref="GV24:GV63" si="73">ES24+EZ24+FI24+FR24+GC24+GT24</f>
        <v>17007</v>
      </c>
      <c r="GW24" s="10">
        <f t="shared" ref="GW24:GW63" si="74">GV24/GU24</f>
        <v>8.9604847207586928</v>
      </c>
      <c r="GZ24">
        <f>3+6+2+1+11+1+5</f>
        <v>29</v>
      </c>
      <c r="HA24">
        <f>567+94+54+189+202+3+103</f>
        <v>1212</v>
      </c>
      <c r="HB24">
        <v>46</v>
      </c>
      <c r="HC24">
        <v>1455</v>
      </c>
      <c r="HD24">
        <v>20</v>
      </c>
      <c r="HE24">
        <v>207</v>
      </c>
      <c r="HF24">
        <v>1073</v>
      </c>
      <c r="HG24">
        <v>9278</v>
      </c>
      <c r="HH24">
        <v>150</v>
      </c>
      <c r="HI24">
        <v>1030</v>
      </c>
      <c r="HJ24">
        <v>33</v>
      </c>
      <c r="HK24">
        <v>328</v>
      </c>
      <c r="HL24">
        <v>33</v>
      </c>
      <c r="HM24">
        <v>334</v>
      </c>
      <c r="HN24">
        <v>39</v>
      </c>
      <c r="HO24">
        <v>909</v>
      </c>
      <c r="HP24" s="3">
        <f t="shared" ref="HP24:HP63" si="75">GZ24+HB24+HD24+HF24+HH24+HJ24+HL24+HN24</f>
        <v>1423</v>
      </c>
      <c r="HQ24" s="3">
        <f t="shared" ref="HQ24:HQ63" si="76">HA24+HC24+HE24+HG24+HI24+HK24+HM24+HO24</f>
        <v>14753</v>
      </c>
      <c r="HT24">
        <f>1+1+4+1</f>
        <v>7</v>
      </c>
      <c r="HU24">
        <f>24+2+63+3</f>
        <v>92</v>
      </c>
      <c r="HV24">
        <v>75</v>
      </c>
      <c r="HW24">
        <v>1206</v>
      </c>
      <c r="HX24">
        <v>77</v>
      </c>
      <c r="HY24">
        <v>1838</v>
      </c>
      <c r="HZ24">
        <v>34</v>
      </c>
      <c r="IA24">
        <v>405</v>
      </c>
      <c r="IB24">
        <v>40</v>
      </c>
      <c r="IC24">
        <v>432</v>
      </c>
      <c r="ID24" s="3">
        <f t="shared" ref="ID24:ID63" si="77">HT24+HV24+HX24+HZ24+IB24</f>
        <v>233</v>
      </c>
      <c r="IE24" s="3">
        <f t="shared" ref="IE24:IE63" si="78">HU24+HW24+HY24+IA24+IC24</f>
        <v>3973</v>
      </c>
      <c r="IF24" s="3"/>
      <c r="IG24">
        <f>2+3+4+9+1+8</f>
        <v>27</v>
      </c>
      <c r="IH24">
        <f>20+55+126+426+3+63</f>
        <v>693</v>
      </c>
      <c r="II24">
        <v>46</v>
      </c>
      <c r="IJ24">
        <v>1462</v>
      </c>
      <c r="IK24" s="3">
        <f t="shared" ref="IK24:IK63" si="79">IG24+II24</f>
        <v>73</v>
      </c>
      <c r="IL24" s="3">
        <f t="shared" ref="IL24:IL63" si="80">IH24+IJ24</f>
        <v>2155</v>
      </c>
      <c r="IN24">
        <f>4+4+4</f>
        <v>12</v>
      </c>
      <c r="IO24">
        <f>74+37+17</f>
        <v>128</v>
      </c>
      <c r="IR24">
        <f>4+4+9+1+1+1+2+3+25+6+23</f>
        <v>79</v>
      </c>
      <c r="IS24">
        <f>83+12+83+26+3+4+10+6+476+42+262</f>
        <v>1007</v>
      </c>
      <c r="IV24">
        <v>460</v>
      </c>
      <c r="IW24">
        <v>3994</v>
      </c>
      <c r="IX24">
        <v>67</v>
      </c>
      <c r="IY24">
        <v>1020</v>
      </c>
      <c r="IZ24">
        <v>52</v>
      </c>
      <c r="JA24">
        <v>583</v>
      </c>
      <c r="JB24">
        <v>27</v>
      </c>
      <c r="JC24">
        <v>242</v>
      </c>
      <c r="JD24">
        <v>24</v>
      </c>
      <c r="JE24">
        <v>245</v>
      </c>
      <c r="JF24" s="3">
        <f t="shared" ref="JF24:JF63" si="81">IR24+IT24+IV24+IX24+IZ24+JB24+JD24</f>
        <v>709</v>
      </c>
      <c r="JG24" s="3">
        <f t="shared" ref="JG24:JG63" si="82">IS24+IU24+IW24+IY24+JA24+JC24+JE24</f>
        <v>7091</v>
      </c>
      <c r="JI24" s="5">
        <f t="shared" ref="JI24:JI63" si="83">HP24+ID24+IK24+IN24+JF24</f>
        <v>2450</v>
      </c>
      <c r="JJ24" s="5">
        <f t="shared" ref="JJ24:JJ63" si="84">HQ24+IE24+IL24+IO24+JG24</f>
        <v>28100</v>
      </c>
      <c r="JK24" s="10">
        <f t="shared" ref="JK24:JK63" si="85">JJ24/JI24</f>
        <v>11.469387755102041</v>
      </c>
      <c r="JN24">
        <f>1+7+13</f>
        <v>21</v>
      </c>
      <c r="JO24">
        <f>3+9+271</f>
        <v>283</v>
      </c>
      <c r="JP24">
        <v>10</v>
      </c>
      <c r="JQ24">
        <v>104</v>
      </c>
      <c r="JR24">
        <v>26</v>
      </c>
      <c r="JS24">
        <v>2182</v>
      </c>
      <c r="JT24">
        <v>29</v>
      </c>
      <c r="JU24">
        <v>287</v>
      </c>
      <c r="JV24">
        <v>29</v>
      </c>
      <c r="JW24">
        <v>1090</v>
      </c>
      <c r="JX24">
        <v>23</v>
      </c>
      <c r="JY24">
        <v>497</v>
      </c>
      <c r="JZ24">
        <v>7</v>
      </c>
      <c r="KA24">
        <v>100</v>
      </c>
      <c r="KB24">
        <v>99</v>
      </c>
      <c r="KC24">
        <v>820</v>
      </c>
      <c r="KD24">
        <v>28</v>
      </c>
      <c r="KE24">
        <v>607</v>
      </c>
      <c r="KF24" s="3">
        <f t="shared" ref="KF24:KF63" si="86">JN24+JP24+JR24+JT24+JV24+JX24+JZ24+KB24+KD24</f>
        <v>272</v>
      </c>
      <c r="KG24" s="3">
        <f t="shared" ref="KG24:KG63" si="87">JO24+JQ24+JS24+JU24+JW24+JY24+KA24+KC24+KE24</f>
        <v>5970</v>
      </c>
      <c r="KJ24">
        <f>5+1+11+31+1+7+16+5+8+11+3+2</f>
        <v>101</v>
      </c>
      <c r="KK24">
        <f>139+13+282+275+23+52+242+32+80+84+47+32</f>
        <v>1301</v>
      </c>
      <c r="KL24">
        <v>16</v>
      </c>
      <c r="KM24">
        <v>1981</v>
      </c>
      <c r="KN24">
        <v>28</v>
      </c>
      <c r="KO24">
        <v>260</v>
      </c>
      <c r="KP24" s="3">
        <f t="shared" ref="KP24:KP63" si="88">KJ24+KL24+KN24</f>
        <v>145</v>
      </c>
      <c r="KQ24" s="3">
        <f t="shared" ref="KQ24:KQ63" si="89">KK24+KM24+KO24</f>
        <v>3542</v>
      </c>
      <c r="KS24" s="5">
        <f t="shared" ref="KS24:KS63" si="90">KF24+KP24</f>
        <v>417</v>
      </c>
      <c r="KT24" s="5">
        <f t="shared" ref="KT24:KT63" si="91">KG24+KQ24</f>
        <v>9512</v>
      </c>
      <c r="KU24" s="10">
        <f t="shared" ref="KU24:KU63" si="92">KT24/KS24</f>
        <v>22.810551558752998</v>
      </c>
      <c r="KW24" s="5">
        <f t="shared" ref="KW24:KW63" si="93">P24+AP24+BF24+CE24+EM24+GU24+JI24+KS24</f>
        <v>6577</v>
      </c>
      <c r="KX24" s="5">
        <f t="shared" ref="KX24:KX63" si="94">Q24+AQ24+BG24+CF24+EN24+GV24+JJ24+KT24</f>
        <v>112847</v>
      </c>
      <c r="KY24" s="10">
        <f t="shared" ref="KY24:KY63" si="95">KX24/KW24</f>
        <v>17.157822715523796</v>
      </c>
      <c r="LA24" s="15" t="s">
        <v>302</v>
      </c>
      <c r="LB24">
        <v>186945</v>
      </c>
      <c r="LD24" s="11">
        <f t="shared" ref="LD24:LD63" si="96">KW24/LB24*1000</f>
        <v>35.181470485971808</v>
      </c>
      <c r="LE24" s="11">
        <f t="shared" ref="LE24:LE63" si="97">KX24/LB24*1000</f>
        <v>603.63743346973706</v>
      </c>
      <c r="LG24" s="5"/>
    </row>
    <row r="25" spans="1:319" ht="15.75" x14ac:dyDescent="0.25">
      <c r="A25" s="22" t="s">
        <v>380</v>
      </c>
      <c r="B25" s="24" t="s">
        <v>303</v>
      </c>
      <c r="C25" s="1"/>
      <c r="D25" s="1"/>
      <c r="E25">
        <v>3</v>
      </c>
      <c r="F25">
        <v>15</v>
      </c>
      <c r="G25">
        <f>16+1+2</f>
        <v>19</v>
      </c>
      <c r="H25">
        <f>129+15+9</f>
        <v>153</v>
      </c>
      <c r="L25">
        <v>283</v>
      </c>
      <c r="M25">
        <v>893</v>
      </c>
      <c r="N25" s="3">
        <f t="shared" si="29"/>
        <v>283</v>
      </c>
      <c r="O25" s="3">
        <f t="shared" si="30"/>
        <v>893</v>
      </c>
      <c r="P25" s="5">
        <f t="shared" si="31"/>
        <v>305</v>
      </c>
      <c r="Q25" s="5">
        <f t="shared" si="32"/>
        <v>1061</v>
      </c>
      <c r="R25" s="10">
        <f t="shared" si="33"/>
        <v>3.4786885245901638</v>
      </c>
      <c r="U25">
        <f>2+2+1+6+1</f>
        <v>12</v>
      </c>
      <c r="V25">
        <f>16+4+12+46+8</f>
        <v>86</v>
      </c>
      <c r="W25">
        <f>483+1</f>
        <v>484</v>
      </c>
      <c r="X25">
        <f>2020+11</f>
        <v>2031</v>
      </c>
      <c r="Y25">
        <v>98</v>
      </c>
      <c r="Z25">
        <v>460</v>
      </c>
      <c r="AA25" s="3">
        <f t="shared" si="34"/>
        <v>594</v>
      </c>
      <c r="AB25" s="3">
        <f t="shared" si="35"/>
        <v>2577</v>
      </c>
      <c r="AD25">
        <v>11</v>
      </c>
      <c r="AE25">
        <v>112</v>
      </c>
      <c r="AF25">
        <v>11</v>
      </c>
      <c r="AG25">
        <v>113</v>
      </c>
      <c r="AI25">
        <f>3+1+2+1</f>
        <v>7</v>
      </c>
      <c r="AJ25">
        <f>19+6+19+6</f>
        <v>50</v>
      </c>
      <c r="AK25">
        <v>26</v>
      </c>
      <c r="AL25">
        <v>197</v>
      </c>
      <c r="AM25" s="3">
        <f t="shared" si="36"/>
        <v>33</v>
      </c>
      <c r="AN25" s="3">
        <f t="shared" si="37"/>
        <v>247</v>
      </c>
      <c r="AP25" s="5">
        <f t="shared" si="38"/>
        <v>649</v>
      </c>
      <c r="AQ25" s="5">
        <f t="shared" si="39"/>
        <v>3049</v>
      </c>
      <c r="AR25" s="10">
        <f t="shared" si="40"/>
        <v>4.6979969183359014</v>
      </c>
      <c r="AU25">
        <f>16+1+10</f>
        <v>27</v>
      </c>
      <c r="AV25">
        <f>618+20+848</f>
        <v>1486</v>
      </c>
      <c r="AW25">
        <v>110</v>
      </c>
      <c r="AX25">
        <v>462</v>
      </c>
      <c r="AY25" s="3">
        <f t="shared" si="41"/>
        <v>137</v>
      </c>
      <c r="AZ25" s="3">
        <f t="shared" si="42"/>
        <v>1948</v>
      </c>
      <c r="BB25" s="12"/>
      <c r="BC25" s="12"/>
      <c r="BD25" s="12">
        <f>46+3</f>
        <v>49</v>
      </c>
      <c r="BE25" s="12">
        <f>429+44</f>
        <v>473</v>
      </c>
      <c r="BF25" s="13">
        <f t="shared" si="43"/>
        <v>186</v>
      </c>
      <c r="BG25" s="13">
        <f t="shared" si="44"/>
        <v>2421</v>
      </c>
      <c r="BH25" s="10">
        <f t="shared" si="45"/>
        <v>13.016129032258064</v>
      </c>
      <c r="BI25" s="10"/>
      <c r="BJ25" s="12"/>
      <c r="BK25" s="12">
        <v>1</v>
      </c>
      <c r="BL25" s="12">
        <v>20</v>
      </c>
      <c r="BM25" s="12">
        <v>29</v>
      </c>
      <c r="BN25" s="12">
        <v>889</v>
      </c>
      <c r="BO25" s="14">
        <f t="shared" si="46"/>
        <v>30</v>
      </c>
      <c r="BP25" s="14">
        <f t="shared" si="47"/>
        <v>909</v>
      </c>
      <c r="BQ25" s="12"/>
      <c r="BR25" s="12">
        <v>2</v>
      </c>
      <c r="BS25" s="12">
        <v>15</v>
      </c>
      <c r="BT25" s="12">
        <v>33</v>
      </c>
      <c r="BU25" s="12">
        <v>321</v>
      </c>
      <c r="BV25" s="12"/>
      <c r="BW25" s="12"/>
      <c r="BX25" s="14">
        <f t="shared" si="48"/>
        <v>35</v>
      </c>
      <c r="BY25" s="14">
        <f t="shared" si="49"/>
        <v>336</v>
      </c>
      <c r="BZ25" s="12"/>
      <c r="CA25" s="12"/>
      <c r="CB25" s="12"/>
      <c r="CC25" s="12">
        <f>3+2+1</f>
        <v>6</v>
      </c>
      <c r="CD25" s="12">
        <f>16+26+2</f>
        <v>44</v>
      </c>
      <c r="CE25" s="13">
        <f t="shared" si="50"/>
        <v>71</v>
      </c>
      <c r="CF25" s="13">
        <f t="shared" si="51"/>
        <v>1289</v>
      </c>
      <c r="CG25" s="10">
        <f t="shared" si="52"/>
        <v>18.154929577464788</v>
      </c>
      <c r="CH25" s="10"/>
      <c r="CI25" s="12"/>
      <c r="CJ25" s="12">
        <f>2+1</f>
        <v>3</v>
      </c>
      <c r="CK25" s="12">
        <f>21+6</f>
        <v>27</v>
      </c>
      <c r="CL25" s="12">
        <v>64</v>
      </c>
      <c r="CM25" s="12">
        <v>416</v>
      </c>
      <c r="CN25" s="14">
        <f t="shared" si="53"/>
        <v>67</v>
      </c>
      <c r="CO25" s="14">
        <f t="shared" si="54"/>
        <v>443</v>
      </c>
      <c r="CP25" s="12"/>
      <c r="CQ25" s="12"/>
      <c r="CR25" s="12"/>
      <c r="CT25">
        <v>518</v>
      </c>
      <c r="CU25">
        <v>6980</v>
      </c>
      <c r="CX25">
        <f>122+32</f>
        <v>154</v>
      </c>
      <c r="CY25">
        <f>1236+62</f>
        <v>1298</v>
      </c>
      <c r="DB25">
        <v>1</v>
      </c>
      <c r="DC25">
        <v>420</v>
      </c>
      <c r="DJ25">
        <v>9</v>
      </c>
      <c r="DK25">
        <v>108</v>
      </c>
      <c r="DT25">
        <v>39</v>
      </c>
      <c r="DU25">
        <v>243</v>
      </c>
      <c r="DV25" s="3">
        <f t="shared" si="55"/>
        <v>721</v>
      </c>
      <c r="DW25" s="3">
        <f t="shared" si="56"/>
        <v>9049</v>
      </c>
      <c r="DY25">
        <v>4</v>
      </c>
      <c r="DZ25">
        <v>347</v>
      </c>
      <c r="EI25">
        <v>8</v>
      </c>
      <c r="EJ25">
        <v>122</v>
      </c>
      <c r="EK25" s="3">
        <f t="shared" si="57"/>
        <v>12</v>
      </c>
      <c r="EL25" s="3">
        <f t="shared" si="58"/>
        <v>469</v>
      </c>
      <c r="EM25" s="5">
        <f t="shared" si="59"/>
        <v>800</v>
      </c>
      <c r="EN25" s="5">
        <f t="shared" si="60"/>
        <v>9961</v>
      </c>
      <c r="EO25" s="10">
        <f t="shared" si="61"/>
        <v>12.45125</v>
      </c>
      <c r="EU25">
        <v>2</v>
      </c>
      <c r="EV25">
        <v>5</v>
      </c>
      <c r="EW25">
        <v>27</v>
      </c>
      <c r="EX25">
        <v>104</v>
      </c>
      <c r="EY25" s="3">
        <f t="shared" si="62"/>
        <v>29</v>
      </c>
      <c r="EZ25" s="3">
        <f t="shared" si="63"/>
        <v>109</v>
      </c>
      <c r="FD25">
        <v>37</v>
      </c>
      <c r="FE25">
        <v>208</v>
      </c>
      <c r="FF25">
        <v>568</v>
      </c>
      <c r="FG25">
        <v>894</v>
      </c>
      <c r="FH25" s="3">
        <f t="shared" si="64"/>
        <v>605</v>
      </c>
      <c r="FI25" s="3">
        <f t="shared" si="65"/>
        <v>1102</v>
      </c>
      <c r="FK25">
        <v>2</v>
      </c>
      <c r="FL25">
        <v>5</v>
      </c>
      <c r="FO25">
        <v>17</v>
      </c>
      <c r="FP25">
        <v>302</v>
      </c>
      <c r="FQ25" s="3">
        <f t="shared" si="66"/>
        <v>19</v>
      </c>
      <c r="FR25" s="3">
        <f t="shared" si="67"/>
        <v>307</v>
      </c>
      <c r="FX25">
        <v>23</v>
      </c>
      <c r="FY25">
        <v>96</v>
      </c>
      <c r="FZ25">
        <v>7</v>
      </c>
      <c r="GA25">
        <v>20</v>
      </c>
      <c r="GB25" s="3">
        <f t="shared" si="68"/>
        <v>30</v>
      </c>
      <c r="GC25" s="3">
        <f t="shared" si="69"/>
        <v>116</v>
      </c>
      <c r="GG25">
        <v>2</v>
      </c>
      <c r="GH25">
        <v>20</v>
      </c>
      <c r="GK25">
        <v>617</v>
      </c>
      <c r="GL25">
        <v>2229</v>
      </c>
      <c r="GM25">
        <v>7</v>
      </c>
      <c r="GN25">
        <v>51</v>
      </c>
      <c r="GO25">
        <v>2</v>
      </c>
      <c r="GP25">
        <v>4</v>
      </c>
      <c r="GQ25">
        <v>2</v>
      </c>
      <c r="GR25">
        <v>12</v>
      </c>
      <c r="GS25" s="3">
        <f t="shared" si="70"/>
        <v>630</v>
      </c>
      <c r="GT25" s="3">
        <f t="shared" si="71"/>
        <v>2316</v>
      </c>
      <c r="GU25" s="5">
        <f t="shared" si="72"/>
        <v>1313</v>
      </c>
      <c r="GV25" s="5">
        <f t="shared" si="73"/>
        <v>3950</v>
      </c>
      <c r="GW25" s="10">
        <f t="shared" si="74"/>
        <v>3.0083777608530085</v>
      </c>
      <c r="GZ25">
        <v>3</v>
      </c>
      <c r="HA25">
        <v>26</v>
      </c>
      <c r="HB25">
        <v>35</v>
      </c>
      <c r="HC25">
        <v>435</v>
      </c>
      <c r="HD25">
        <v>15</v>
      </c>
      <c r="HE25">
        <v>104</v>
      </c>
      <c r="HF25">
        <v>450</v>
      </c>
      <c r="HG25">
        <v>1759</v>
      </c>
      <c r="HH25">
        <v>870</v>
      </c>
      <c r="HI25">
        <v>2509</v>
      </c>
      <c r="HJ25">
        <v>35</v>
      </c>
      <c r="HK25">
        <v>174</v>
      </c>
      <c r="HL25">
        <v>27</v>
      </c>
      <c r="HM25">
        <v>135</v>
      </c>
      <c r="HN25">
        <v>2</v>
      </c>
      <c r="HO25">
        <v>29</v>
      </c>
      <c r="HP25" s="3">
        <f t="shared" si="75"/>
        <v>1437</v>
      </c>
      <c r="HQ25" s="3">
        <f t="shared" si="76"/>
        <v>5171</v>
      </c>
      <c r="HV25">
        <v>87</v>
      </c>
      <c r="HW25">
        <v>422</v>
      </c>
      <c r="HX25">
        <v>33</v>
      </c>
      <c r="HY25">
        <v>240</v>
      </c>
      <c r="HZ25">
        <v>19</v>
      </c>
      <c r="IA25">
        <v>91</v>
      </c>
      <c r="ID25" s="3">
        <f t="shared" si="77"/>
        <v>139</v>
      </c>
      <c r="IE25" s="3">
        <f t="shared" si="78"/>
        <v>753</v>
      </c>
      <c r="IF25" s="3"/>
      <c r="II25">
        <v>17</v>
      </c>
      <c r="IJ25">
        <v>167</v>
      </c>
      <c r="IK25" s="3">
        <f t="shared" si="79"/>
        <v>17</v>
      </c>
      <c r="IL25" s="3">
        <f t="shared" si="80"/>
        <v>167</v>
      </c>
      <c r="IR25">
        <f>1+3</f>
        <v>4</v>
      </c>
      <c r="IS25">
        <f>5+25</f>
        <v>30</v>
      </c>
      <c r="IV25">
        <v>399</v>
      </c>
      <c r="IW25">
        <v>1383</v>
      </c>
      <c r="IX25">
        <v>224</v>
      </c>
      <c r="IY25">
        <v>793</v>
      </c>
      <c r="IZ25">
        <v>42</v>
      </c>
      <c r="JA25">
        <v>176</v>
      </c>
      <c r="JB25">
        <v>12</v>
      </c>
      <c r="JC25">
        <v>57</v>
      </c>
      <c r="JD25">
        <v>7</v>
      </c>
      <c r="JE25">
        <v>33</v>
      </c>
      <c r="JF25" s="3">
        <f t="shared" si="81"/>
        <v>688</v>
      </c>
      <c r="JG25" s="3">
        <f t="shared" si="82"/>
        <v>2472</v>
      </c>
      <c r="JI25" s="5">
        <f t="shared" si="83"/>
        <v>2281</v>
      </c>
      <c r="JJ25" s="5">
        <f t="shared" si="84"/>
        <v>8563</v>
      </c>
      <c r="JK25" s="10">
        <f t="shared" si="85"/>
        <v>3.7540552389302939</v>
      </c>
      <c r="JR25">
        <v>10</v>
      </c>
      <c r="JS25">
        <v>308</v>
      </c>
      <c r="JT25">
        <f>56+97</f>
        <v>153</v>
      </c>
      <c r="JU25">
        <f>173+166</f>
        <v>339</v>
      </c>
      <c r="JV25">
        <v>25</v>
      </c>
      <c r="JW25">
        <v>303</v>
      </c>
      <c r="JX25">
        <v>8</v>
      </c>
      <c r="JY25">
        <v>72</v>
      </c>
      <c r="KB25">
        <v>6</v>
      </c>
      <c r="KC25">
        <v>26</v>
      </c>
      <c r="KD25">
        <v>3</v>
      </c>
      <c r="KE25">
        <v>17</v>
      </c>
      <c r="KF25" s="3">
        <f t="shared" si="86"/>
        <v>205</v>
      </c>
      <c r="KG25" s="3">
        <f t="shared" si="87"/>
        <v>1065</v>
      </c>
      <c r="KJ25">
        <f>1+1</f>
        <v>2</v>
      </c>
      <c r="KK25">
        <f>2+3</f>
        <v>5</v>
      </c>
      <c r="KL25">
        <v>3</v>
      </c>
      <c r="KM25">
        <v>46</v>
      </c>
      <c r="KP25" s="3">
        <f t="shared" si="88"/>
        <v>5</v>
      </c>
      <c r="KQ25" s="3">
        <f t="shared" si="89"/>
        <v>51</v>
      </c>
      <c r="KS25" s="5">
        <f t="shared" si="90"/>
        <v>210</v>
      </c>
      <c r="KT25" s="5">
        <f t="shared" si="91"/>
        <v>1116</v>
      </c>
      <c r="KU25" s="10">
        <f t="shared" si="92"/>
        <v>5.3142857142857141</v>
      </c>
      <c r="KW25" s="5">
        <f t="shared" si="93"/>
        <v>5815</v>
      </c>
      <c r="KX25" s="5">
        <f t="shared" si="94"/>
        <v>31410</v>
      </c>
      <c r="KY25" s="10">
        <f t="shared" si="95"/>
        <v>5.4015477214101466</v>
      </c>
      <c r="LA25" s="15" t="s">
        <v>304</v>
      </c>
      <c r="LB25">
        <v>421335</v>
      </c>
      <c r="LD25" s="11">
        <f t="shared" si="96"/>
        <v>13.801369456608162</v>
      </c>
      <c r="LE25" s="11">
        <f t="shared" si="97"/>
        <v>74.548755740681401</v>
      </c>
      <c r="LG25" s="5"/>
    </row>
    <row r="26" spans="1:319" ht="15.75" x14ac:dyDescent="0.25">
      <c r="A26" s="22" t="s">
        <v>381</v>
      </c>
      <c r="B26" s="24" t="s">
        <v>305</v>
      </c>
      <c r="C26" s="1"/>
      <c r="D26" s="1"/>
      <c r="E26">
        <v>2</v>
      </c>
      <c r="F26">
        <v>45</v>
      </c>
      <c r="G26">
        <f>12+2+2</f>
        <v>16</v>
      </c>
      <c r="H26">
        <f>138+12+8</f>
        <v>158</v>
      </c>
      <c r="L26">
        <v>193</v>
      </c>
      <c r="M26">
        <v>441</v>
      </c>
      <c r="N26" s="3">
        <f t="shared" si="29"/>
        <v>193</v>
      </c>
      <c r="O26" s="3">
        <f t="shared" si="30"/>
        <v>441</v>
      </c>
      <c r="P26" s="5">
        <f t="shared" si="31"/>
        <v>211</v>
      </c>
      <c r="Q26" s="5">
        <f t="shared" si="32"/>
        <v>644</v>
      </c>
      <c r="R26" s="10">
        <f t="shared" si="33"/>
        <v>3.0521327014218009</v>
      </c>
      <c r="U26">
        <f>5+6+21</f>
        <v>32</v>
      </c>
      <c r="V26">
        <f>39+22+111</f>
        <v>172</v>
      </c>
      <c r="W26">
        <v>320</v>
      </c>
      <c r="X26">
        <v>969</v>
      </c>
      <c r="Y26">
        <v>74</v>
      </c>
      <c r="Z26">
        <v>463</v>
      </c>
      <c r="AA26" s="3">
        <f t="shared" si="34"/>
        <v>426</v>
      </c>
      <c r="AB26" s="3">
        <f t="shared" si="35"/>
        <v>1604</v>
      </c>
      <c r="AD26">
        <f>11+1</f>
        <v>12</v>
      </c>
      <c r="AE26">
        <f>111+10</f>
        <v>121</v>
      </c>
      <c r="AF26">
        <v>16</v>
      </c>
      <c r="AG26">
        <v>141</v>
      </c>
      <c r="AI26">
        <f>8+1</f>
        <v>9</v>
      </c>
      <c r="AJ26">
        <f>118+27</f>
        <v>145</v>
      </c>
      <c r="AK26">
        <v>6</v>
      </c>
      <c r="AL26">
        <v>66</v>
      </c>
      <c r="AM26" s="3">
        <f t="shared" si="36"/>
        <v>15</v>
      </c>
      <c r="AN26" s="3">
        <f t="shared" si="37"/>
        <v>211</v>
      </c>
      <c r="AP26" s="5">
        <f t="shared" si="38"/>
        <v>469</v>
      </c>
      <c r="AQ26" s="5">
        <f t="shared" si="39"/>
        <v>2077</v>
      </c>
      <c r="AR26" s="10">
        <f t="shared" si="40"/>
        <v>4.4285714285714288</v>
      </c>
      <c r="AU26">
        <f>4+6</f>
        <v>10</v>
      </c>
      <c r="AV26">
        <f>192+7</f>
        <v>199</v>
      </c>
      <c r="AW26">
        <v>44</v>
      </c>
      <c r="AX26">
        <v>124</v>
      </c>
      <c r="AY26" s="3">
        <f t="shared" si="41"/>
        <v>54</v>
      </c>
      <c r="AZ26" s="3">
        <f t="shared" si="42"/>
        <v>323</v>
      </c>
      <c r="BB26" s="12">
        <v>3</v>
      </c>
      <c r="BC26" s="12">
        <v>284</v>
      </c>
      <c r="BD26" s="12">
        <f>7+1</f>
        <v>8</v>
      </c>
      <c r="BE26" s="12">
        <f>50+57</f>
        <v>107</v>
      </c>
      <c r="BF26" s="13">
        <f t="shared" si="43"/>
        <v>65</v>
      </c>
      <c r="BG26" s="13">
        <f t="shared" si="44"/>
        <v>714</v>
      </c>
      <c r="BH26" s="10">
        <f t="shared" si="45"/>
        <v>10.984615384615385</v>
      </c>
      <c r="BI26" s="10"/>
      <c r="BJ26" s="12"/>
      <c r="BK26" s="12">
        <v>1</v>
      </c>
      <c r="BL26" s="12">
        <v>3</v>
      </c>
      <c r="BM26" s="12">
        <v>21</v>
      </c>
      <c r="BN26" s="12">
        <v>815</v>
      </c>
      <c r="BO26" s="14">
        <f t="shared" si="46"/>
        <v>22</v>
      </c>
      <c r="BP26" s="14">
        <f t="shared" si="47"/>
        <v>818</v>
      </c>
      <c r="BQ26" s="12"/>
      <c r="BR26" s="12">
        <f>1+1</f>
        <v>2</v>
      </c>
      <c r="BS26" s="12">
        <f>24+3</f>
        <v>27</v>
      </c>
      <c r="BT26" s="12">
        <v>22</v>
      </c>
      <c r="BU26" s="12">
        <v>390</v>
      </c>
      <c r="BV26" s="12"/>
      <c r="BW26" s="12"/>
      <c r="BX26" s="14">
        <f t="shared" si="48"/>
        <v>24</v>
      </c>
      <c r="BY26" s="14">
        <f t="shared" si="49"/>
        <v>417</v>
      </c>
      <c r="BZ26" s="12"/>
      <c r="CA26" s="12"/>
      <c r="CB26" s="12"/>
      <c r="CC26" s="12">
        <f>1+2</f>
        <v>3</v>
      </c>
      <c r="CD26" s="12">
        <f>9+40</f>
        <v>49</v>
      </c>
      <c r="CE26" s="13">
        <f t="shared" si="50"/>
        <v>49</v>
      </c>
      <c r="CF26" s="13">
        <f t="shared" si="51"/>
        <v>1284</v>
      </c>
      <c r="CG26" s="10">
        <f t="shared" si="52"/>
        <v>26.204081632653061</v>
      </c>
      <c r="CH26" s="10"/>
      <c r="CI26" s="12"/>
      <c r="CJ26" s="12">
        <v>5</v>
      </c>
      <c r="CK26" s="12">
        <v>7</v>
      </c>
      <c r="CL26" s="12">
        <v>25</v>
      </c>
      <c r="CM26" s="12">
        <v>294</v>
      </c>
      <c r="CN26" s="14">
        <f t="shared" si="53"/>
        <v>30</v>
      </c>
      <c r="CO26" s="14">
        <f t="shared" si="54"/>
        <v>301</v>
      </c>
      <c r="CP26" s="12"/>
      <c r="CQ26" s="12"/>
      <c r="CR26" s="12"/>
      <c r="CT26">
        <v>373</v>
      </c>
      <c r="CU26">
        <v>10072</v>
      </c>
      <c r="CX26">
        <f>53+3</f>
        <v>56</v>
      </c>
      <c r="CY26">
        <f>745+7</f>
        <v>752</v>
      </c>
      <c r="DB26">
        <v>1</v>
      </c>
      <c r="DC26">
        <v>1336</v>
      </c>
      <c r="DJ26">
        <v>10</v>
      </c>
      <c r="DK26">
        <v>183</v>
      </c>
      <c r="DT26">
        <v>16</v>
      </c>
      <c r="DU26">
        <v>92</v>
      </c>
      <c r="DV26" s="3">
        <f t="shared" si="55"/>
        <v>456</v>
      </c>
      <c r="DW26" s="3">
        <f t="shared" si="56"/>
        <v>12435</v>
      </c>
      <c r="DY26">
        <v>7</v>
      </c>
      <c r="DZ26">
        <v>120</v>
      </c>
      <c r="EG26">
        <v>49</v>
      </c>
      <c r="EH26">
        <v>1653</v>
      </c>
      <c r="EI26">
        <v>2</v>
      </c>
      <c r="EJ26">
        <v>12</v>
      </c>
      <c r="EK26" s="3">
        <f t="shared" si="57"/>
        <v>58</v>
      </c>
      <c r="EL26" s="3">
        <f t="shared" si="58"/>
        <v>1785</v>
      </c>
      <c r="EM26" s="5">
        <f t="shared" si="59"/>
        <v>544</v>
      </c>
      <c r="EN26" s="5">
        <f t="shared" si="60"/>
        <v>14521</v>
      </c>
      <c r="EO26" s="10">
        <f t="shared" si="61"/>
        <v>26.693014705882351</v>
      </c>
      <c r="EU26">
        <f>8+3</f>
        <v>11</v>
      </c>
      <c r="EV26">
        <f>26+17</f>
        <v>43</v>
      </c>
      <c r="EW26">
        <v>119</v>
      </c>
      <c r="EX26">
        <v>323</v>
      </c>
      <c r="EY26" s="3">
        <f t="shared" si="62"/>
        <v>130</v>
      </c>
      <c r="EZ26" s="3">
        <f t="shared" si="63"/>
        <v>366</v>
      </c>
      <c r="FD26">
        <v>29</v>
      </c>
      <c r="FE26">
        <v>140</v>
      </c>
      <c r="FF26">
        <v>58</v>
      </c>
      <c r="FG26">
        <v>112</v>
      </c>
      <c r="FH26" s="3">
        <f t="shared" si="64"/>
        <v>87</v>
      </c>
      <c r="FI26" s="3">
        <f t="shared" si="65"/>
        <v>252</v>
      </c>
      <c r="FK26">
        <f>5+11</f>
        <v>16</v>
      </c>
      <c r="FL26">
        <f>47+83</f>
        <v>130</v>
      </c>
      <c r="FO26">
        <v>10</v>
      </c>
      <c r="FP26">
        <v>115</v>
      </c>
      <c r="FQ26" s="3">
        <f t="shared" si="66"/>
        <v>26</v>
      </c>
      <c r="FR26" s="3">
        <f t="shared" si="67"/>
        <v>245</v>
      </c>
      <c r="FX26">
        <v>24</v>
      </c>
      <c r="FY26">
        <v>68</v>
      </c>
      <c r="FZ26">
        <v>7</v>
      </c>
      <c r="GA26">
        <v>56</v>
      </c>
      <c r="GB26" s="3">
        <f t="shared" si="68"/>
        <v>31</v>
      </c>
      <c r="GC26" s="3">
        <f t="shared" si="69"/>
        <v>124</v>
      </c>
      <c r="GE26">
        <v>2</v>
      </c>
      <c r="GF26">
        <v>3</v>
      </c>
      <c r="GI26">
        <v>12</v>
      </c>
      <c r="GJ26">
        <v>182</v>
      </c>
      <c r="GK26">
        <v>369</v>
      </c>
      <c r="GL26">
        <v>2064</v>
      </c>
      <c r="GO26">
        <v>13</v>
      </c>
      <c r="GP26">
        <v>132</v>
      </c>
      <c r="GQ26">
        <v>13</v>
      </c>
      <c r="GR26">
        <v>77</v>
      </c>
      <c r="GS26" s="3">
        <f t="shared" si="70"/>
        <v>409</v>
      </c>
      <c r="GT26" s="3">
        <f t="shared" si="71"/>
        <v>2458</v>
      </c>
      <c r="GU26" s="5">
        <f t="shared" si="72"/>
        <v>683</v>
      </c>
      <c r="GV26" s="5">
        <f t="shared" si="73"/>
        <v>3445</v>
      </c>
      <c r="GW26" s="10">
        <f t="shared" si="74"/>
        <v>5.0439238653001466</v>
      </c>
      <c r="HB26">
        <v>108</v>
      </c>
      <c r="HC26">
        <v>899</v>
      </c>
      <c r="HD26">
        <v>1</v>
      </c>
      <c r="HE26">
        <v>5</v>
      </c>
      <c r="HF26">
        <v>105</v>
      </c>
      <c r="HG26">
        <v>560</v>
      </c>
      <c r="HH26">
        <v>703</v>
      </c>
      <c r="HI26">
        <v>2078</v>
      </c>
      <c r="HJ26">
        <v>28</v>
      </c>
      <c r="HK26">
        <v>148</v>
      </c>
      <c r="HL26">
        <v>12</v>
      </c>
      <c r="HM26">
        <v>83</v>
      </c>
      <c r="HN26">
        <v>3</v>
      </c>
      <c r="HO26">
        <v>18</v>
      </c>
      <c r="HP26" s="3">
        <f t="shared" si="75"/>
        <v>960</v>
      </c>
      <c r="HQ26" s="3">
        <f t="shared" si="76"/>
        <v>3791</v>
      </c>
      <c r="HT26">
        <v>2</v>
      </c>
      <c r="HU26">
        <v>3</v>
      </c>
      <c r="HV26">
        <v>130</v>
      </c>
      <c r="HW26">
        <v>463</v>
      </c>
      <c r="HX26">
        <v>56</v>
      </c>
      <c r="HY26">
        <v>344</v>
      </c>
      <c r="HZ26">
        <v>4</v>
      </c>
      <c r="IA26">
        <v>12</v>
      </c>
      <c r="IB26">
        <v>1</v>
      </c>
      <c r="IC26">
        <v>9</v>
      </c>
      <c r="ID26" s="3">
        <f t="shared" si="77"/>
        <v>193</v>
      </c>
      <c r="IE26" s="3">
        <f t="shared" si="78"/>
        <v>831</v>
      </c>
      <c r="IF26" s="3"/>
      <c r="IG26">
        <v>1</v>
      </c>
      <c r="IH26">
        <v>103</v>
      </c>
      <c r="II26">
        <v>14</v>
      </c>
      <c r="IJ26">
        <v>117</v>
      </c>
      <c r="IK26" s="3">
        <f t="shared" si="79"/>
        <v>15</v>
      </c>
      <c r="IL26" s="3">
        <f t="shared" si="80"/>
        <v>220</v>
      </c>
      <c r="IR26">
        <f>8+3</f>
        <v>11</v>
      </c>
      <c r="IS26">
        <f>138+5</f>
        <v>143</v>
      </c>
      <c r="IV26">
        <v>213</v>
      </c>
      <c r="IW26">
        <v>1037</v>
      </c>
      <c r="IX26">
        <v>77</v>
      </c>
      <c r="IY26">
        <v>370</v>
      </c>
      <c r="IZ26">
        <v>4</v>
      </c>
      <c r="JA26">
        <v>14</v>
      </c>
      <c r="JB26">
        <v>11</v>
      </c>
      <c r="JC26">
        <v>36</v>
      </c>
      <c r="JF26" s="3">
        <f t="shared" si="81"/>
        <v>316</v>
      </c>
      <c r="JG26" s="3">
        <f t="shared" si="82"/>
        <v>1600</v>
      </c>
      <c r="JI26" s="5">
        <f t="shared" si="83"/>
        <v>1484</v>
      </c>
      <c r="JJ26" s="5">
        <f t="shared" si="84"/>
        <v>6442</v>
      </c>
      <c r="JK26" s="10">
        <f t="shared" si="85"/>
        <v>4.3409703504043122</v>
      </c>
      <c r="JR26">
        <v>7</v>
      </c>
      <c r="JS26">
        <v>118</v>
      </c>
      <c r="JT26">
        <v>71</v>
      </c>
      <c r="JU26">
        <v>299</v>
      </c>
      <c r="JV26">
        <v>74</v>
      </c>
      <c r="JW26">
        <v>324</v>
      </c>
      <c r="JX26">
        <v>2</v>
      </c>
      <c r="JY26">
        <v>13</v>
      </c>
      <c r="KB26">
        <v>10</v>
      </c>
      <c r="KC26">
        <v>101</v>
      </c>
      <c r="KD26">
        <v>1</v>
      </c>
      <c r="KE26">
        <v>2</v>
      </c>
      <c r="KF26" s="3">
        <f t="shared" si="86"/>
        <v>165</v>
      </c>
      <c r="KG26" s="3">
        <f t="shared" si="87"/>
        <v>857</v>
      </c>
      <c r="KJ26">
        <f>2+2</f>
        <v>4</v>
      </c>
      <c r="KK26">
        <f>3+16</f>
        <v>19</v>
      </c>
      <c r="KL26">
        <v>5</v>
      </c>
      <c r="KM26">
        <v>100</v>
      </c>
      <c r="KN26">
        <v>1</v>
      </c>
      <c r="KO26">
        <v>2</v>
      </c>
      <c r="KP26" s="3">
        <f t="shared" si="88"/>
        <v>10</v>
      </c>
      <c r="KQ26" s="3">
        <f t="shared" si="89"/>
        <v>121</v>
      </c>
      <c r="KS26" s="5">
        <f t="shared" si="90"/>
        <v>175</v>
      </c>
      <c r="KT26" s="5">
        <f t="shared" si="91"/>
        <v>978</v>
      </c>
      <c r="KU26" s="10">
        <f t="shared" si="92"/>
        <v>5.588571428571429</v>
      </c>
      <c r="KW26" s="5">
        <f t="shared" si="93"/>
        <v>3680</v>
      </c>
      <c r="KX26" s="5">
        <f t="shared" si="94"/>
        <v>30105</v>
      </c>
      <c r="KY26" s="10">
        <f t="shared" si="95"/>
        <v>8.1807065217391308</v>
      </c>
      <c r="LA26" s="15" t="s">
        <v>306</v>
      </c>
      <c r="LB26">
        <v>354468</v>
      </c>
      <c r="LD26" s="11">
        <f t="shared" si="96"/>
        <v>10.381755193698726</v>
      </c>
      <c r="LE26" s="11">
        <f t="shared" si="97"/>
        <v>84.930092420190263</v>
      </c>
      <c r="LG26" s="5"/>
    </row>
    <row r="27" spans="1:319" ht="15.75" x14ac:dyDescent="0.25">
      <c r="A27" s="22" t="s">
        <v>382</v>
      </c>
      <c r="B27" s="24" t="s">
        <v>307</v>
      </c>
      <c r="C27" s="1"/>
      <c r="D27" s="1"/>
      <c r="G27">
        <v>17</v>
      </c>
      <c r="H27">
        <v>125</v>
      </c>
      <c r="L27">
        <v>159</v>
      </c>
      <c r="M27">
        <v>731</v>
      </c>
      <c r="N27" s="3">
        <f t="shared" si="29"/>
        <v>159</v>
      </c>
      <c r="O27" s="3">
        <f t="shared" si="30"/>
        <v>731</v>
      </c>
      <c r="P27" s="5">
        <f t="shared" si="31"/>
        <v>176</v>
      </c>
      <c r="Q27" s="5">
        <f t="shared" si="32"/>
        <v>856</v>
      </c>
      <c r="R27" s="10">
        <f t="shared" si="33"/>
        <v>4.8636363636363633</v>
      </c>
      <c r="U27">
        <f>3+7+3</f>
        <v>13</v>
      </c>
      <c r="V27">
        <f>15+27+16</f>
        <v>58</v>
      </c>
      <c r="W27">
        <v>297</v>
      </c>
      <c r="X27">
        <v>1390</v>
      </c>
      <c r="Y27">
        <v>66</v>
      </c>
      <c r="Z27">
        <v>312</v>
      </c>
      <c r="AA27" s="3">
        <f t="shared" si="34"/>
        <v>376</v>
      </c>
      <c r="AB27" s="3">
        <f t="shared" si="35"/>
        <v>1760</v>
      </c>
      <c r="AD27">
        <v>6</v>
      </c>
      <c r="AE27">
        <v>34</v>
      </c>
      <c r="AF27">
        <v>1</v>
      </c>
      <c r="AG27">
        <v>9</v>
      </c>
      <c r="AI27">
        <v>1</v>
      </c>
      <c r="AJ27">
        <v>6</v>
      </c>
      <c r="AK27">
        <v>11</v>
      </c>
      <c r="AL27">
        <v>59</v>
      </c>
      <c r="AM27" s="3">
        <f t="shared" si="36"/>
        <v>12</v>
      </c>
      <c r="AN27" s="3">
        <f t="shared" si="37"/>
        <v>65</v>
      </c>
      <c r="AP27" s="5">
        <f t="shared" si="38"/>
        <v>395</v>
      </c>
      <c r="AQ27" s="5">
        <f t="shared" si="39"/>
        <v>1868</v>
      </c>
      <c r="AR27" s="10">
        <f t="shared" si="40"/>
        <v>4.7291139240506332</v>
      </c>
      <c r="AW27">
        <v>11</v>
      </c>
      <c r="AX27">
        <v>47</v>
      </c>
      <c r="AY27" s="3">
        <f t="shared" si="41"/>
        <v>11</v>
      </c>
      <c r="AZ27" s="3">
        <f t="shared" si="42"/>
        <v>47</v>
      </c>
      <c r="BB27" s="12"/>
      <c r="BC27" s="12"/>
      <c r="BD27" s="12"/>
      <c r="BE27" s="12"/>
      <c r="BF27" s="13">
        <f t="shared" si="43"/>
        <v>11</v>
      </c>
      <c r="BG27" s="13">
        <f t="shared" si="44"/>
        <v>47</v>
      </c>
      <c r="BH27" s="10">
        <f t="shared" si="45"/>
        <v>4.2727272727272725</v>
      </c>
      <c r="BI27" s="10"/>
      <c r="BJ27" s="12"/>
      <c r="BK27" s="12"/>
      <c r="BL27" s="12"/>
      <c r="BM27" s="12">
        <v>32</v>
      </c>
      <c r="BN27" s="12">
        <v>994</v>
      </c>
      <c r="BO27" s="14">
        <f t="shared" si="46"/>
        <v>32</v>
      </c>
      <c r="BP27" s="14">
        <f t="shared" si="47"/>
        <v>994</v>
      </c>
      <c r="BQ27" s="12"/>
      <c r="BR27" s="12">
        <v>17</v>
      </c>
      <c r="BS27" s="12">
        <v>63</v>
      </c>
      <c r="BT27" s="12">
        <v>29</v>
      </c>
      <c r="BU27" s="12">
        <v>315</v>
      </c>
      <c r="BV27" s="12"/>
      <c r="BW27" s="12"/>
      <c r="BX27" s="14">
        <f t="shared" si="48"/>
        <v>46</v>
      </c>
      <c r="BY27" s="14">
        <f t="shared" si="49"/>
        <v>378</v>
      </c>
      <c r="BZ27" s="12"/>
      <c r="CA27" s="12"/>
      <c r="CB27" s="12"/>
      <c r="CC27" s="12">
        <v>3</v>
      </c>
      <c r="CD27" s="12">
        <v>53</v>
      </c>
      <c r="CE27" s="13">
        <f t="shared" si="50"/>
        <v>81</v>
      </c>
      <c r="CF27" s="13">
        <f t="shared" si="51"/>
        <v>1425</v>
      </c>
      <c r="CG27" s="10">
        <f t="shared" si="52"/>
        <v>17.592592592592592</v>
      </c>
      <c r="CH27" s="10"/>
      <c r="CI27" s="12"/>
      <c r="CJ27" s="12">
        <v>8</v>
      </c>
      <c r="CK27" s="12">
        <v>61</v>
      </c>
      <c r="CL27" s="12"/>
      <c r="CM27" s="12"/>
      <c r="CN27" s="14">
        <f t="shared" si="53"/>
        <v>8</v>
      </c>
      <c r="CO27" s="14">
        <f t="shared" si="54"/>
        <v>61</v>
      </c>
      <c r="CP27" s="12"/>
      <c r="CQ27" s="12"/>
      <c r="CR27" s="12"/>
      <c r="CT27">
        <v>895</v>
      </c>
      <c r="CU27">
        <v>6199</v>
      </c>
      <c r="CV27">
        <v>2</v>
      </c>
      <c r="CW27">
        <v>418</v>
      </c>
      <c r="CX27">
        <v>65</v>
      </c>
      <c r="CY27">
        <v>543</v>
      </c>
      <c r="DJ27">
        <v>4</v>
      </c>
      <c r="DK27">
        <v>68</v>
      </c>
      <c r="DT27">
        <v>14</v>
      </c>
      <c r="DU27">
        <v>83</v>
      </c>
      <c r="DV27" s="3">
        <f t="shared" si="55"/>
        <v>980</v>
      </c>
      <c r="DW27" s="3">
        <f t="shared" si="56"/>
        <v>7311</v>
      </c>
      <c r="DY27">
        <v>4</v>
      </c>
      <c r="DZ27">
        <v>54</v>
      </c>
      <c r="EG27">
        <v>1</v>
      </c>
      <c r="EH27">
        <v>63</v>
      </c>
      <c r="EI27">
        <v>2</v>
      </c>
      <c r="EJ27">
        <v>16</v>
      </c>
      <c r="EK27" s="3">
        <f t="shared" si="57"/>
        <v>7</v>
      </c>
      <c r="EL27" s="3">
        <f t="shared" si="58"/>
        <v>133</v>
      </c>
      <c r="EM27" s="5">
        <f t="shared" si="59"/>
        <v>995</v>
      </c>
      <c r="EN27" s="5">
        <f t="shared" si="60"/>
        <v>7505</v>
      </c>
      <c r="EO27" s="10">
        <f t="shared" si="61"/>
        <v>7.5427135678391961</v>
      </c>
      <c r="EU27">
        <v>1</v>
      </c>
      <c r="EV27">
        <v>6</v>
      </c>
      <c r="EY27" s="3">
        <f t="shared" si="62"/>
        <v>1</v>
      </c>
      <c r="EZ27" s="3">
        <f t="shared" si="63"/>
        <v>6</v>
      </c>
      <c r="FD27">
        <v>41</v>
      </c>
      <c r="FE27">
        <v>192</v>
      </c>
      <c r="FF27">
        <v>43</v>
      </c>
      <c r="FG27">
        <v>151</v>
      </c>
      <c r="FH27" s="3">
        <f t="shared" si="64"/>
        <v>84</v>
      </c>
      <c r="FI27" s="3">
        <f t="shared" si="65"/>
        <v>343</v>
      </c>
      <c r="FK27">
        <v>1</v>
      </c>
      <c r="FL27">
        <v>8</v>
      </c>
      <c r="FO27">
        <v>25</v>
      </c>
      <c r="FP27">
        <v>249</v>
      </c>
      <c r="FQ27" s="3">
        <f t="shared" si="66"/>
        <v>26</v>
      </c>
      <c r="FR27" s="3">
        <f t="shared" si="67"/>
        <v>257</v>
      </c>
      <c r="GB27" s="3">
        <f t="shared" si="68"/>
        <v>0</v>
      </c>
      <c r="GC27" s="3">
        <f t="shared" si="69"/>
        <v>0</v>
      </c>
      <c r="GE27">
        <v>11</v>
      </c>
      <c r="GF27">
        <v>47</v>
      </c>
      <c r="GK27">
        <v>361</v>
      </c>
      <c r="GL27">
        <v>1648</v>
      </c>
      <c r="GO27">
        <v>1</v>
      </c>
      <c r="GP27">
        <v>11</v>
      </c>
      <c r="GS27" s="3">
        <f t="shared" si="70"/>
        <v>373</v>
      </c>
      <c r="GT27" s="3">
        <f t="shared" si="71"/>
        <v>1706</v>
      </c>
      <c r="GU27" s="5">
        <f t="shared" si="72"/>
        <v>484</v>
      </c>
      <c r="GV27" s="5">
        <f t="shared" si="73"/>
        <v>2312</v>
      </c>
      <c r="GW27" s="10">
        <f t="shared" si="74"/>
        <v>4.776859504132231</v>
      </c>
      <c r="HB27">
        <v>66</v>
      </c>
      <c r="HC27">
        <v>280</v>
      </c>
      <c r="HF27">
        <v>237</v>
      </c>
      <c r="HG27">
        <v>1170</v>
      </c>
      <c r="HH27">
        <v>401</v>
      </c>
      <c r="HI27">
        <v>1502</v>
      </c>
      <c r="HJ27">
        <v>44</v>
      </c>
      <c r="HK27">
        <v>181</v>
      </c>
      <c r="HL27">
        <v>8</v>
      </c>
      <c r="HM27">
        <v>46</v>
      </c>
      <c r="HP27" s="3">
        <f t="shared" si="75"/>
        <v>756</v>
      </c>
      <c r="HQ27" s="3">
        <f t="shared" si="76"/>
        <v>3179</v>
      </c>
      <c r="HV27">
        <v>213</v>
      </c>
      <c r="HW27">
        <v>839</v>
      </c>
      <c r="HX27">
        <v>74</v>
      </c>
      <c r="HY27">
        <v>360</v>
      </c>
      <c r="ID27" s="3">
        <f t="shared" si="77"/>
        <v>287</v>
      </c>
      <c r="IE27" s="3">
        <f t="shared" si="78"/>
        <v>1199</v>
      </c>
      <c r="IF27" s="3"/>
      <c r="II27">
        <v>11</v>
      </c>
      <c r="IJ27">
        <v>41</v>
      </c>
      <c r="IK27" s="3">
        <f t="shared" si="79"/>
        <v>11</v>
      </c>
      <c r="IL27" s="3">
        <f t="shared" si="80"/>
        <v>41</v>
      </c>
      <c r="IV27">
        <v>146</v>
      </c>
      <c r="IW27">
        <v>708</v>
      </c>
      <c r="IX27">
        <v>27</v>
      </c>
      <c r="IY27">
        <v>158</v>
      </c>
      <c r="IZ27">
        <v>11</v>
      </c>
      <c r="JA27">
        <v>37</v>
      </c>
      <c r="JB27">
        <v>3</v>
      </c>
      <c r="JC27">
        <v>15</v>
      </c>
      <c r="JF27" s="3">
        <f t="shared" si="81"/>
        <v>187</v>
      </c>
      <c r="JG27" s="3">
        <f t="shared" si="82"/>
        <v>918</v>
      </c>
      <c r="JI27" s="5">
        <f t="shared" si="83"/>
        <v>1241</v>
      </c>
      <c r="JJ27" s="5">
        <f t="shared" si="84"/>
        <v>5337</v>
      </c>
      <c r="JK27" s="10">
        <f t="shared" si="85"/>
        <v>4.3005640612409346</v>
      </c>
      <c r="JR27">
        <v>4</v>
      </c>
      <c r="JS27">
        <v>72</v>
      </c>
      <c r="JT27">
        <v>43</v>
      </c>
      <c r="JU27">
        <v>256</v>
      </c>
      <c r="JV27">
        <v>51</v>
      </c>
      <c r="JW27">
        <v>314</v>
      </c>
      <c r="KB27">
        <v>9</v>
      </c>
      <c r="KC27">
        <v>46</v>
      </c>
      <c r="KD27">
        <v>1</v>
      </c>
      <c r="KE27">
        <v>6</v>
      </c>
      <c r="KF27" s="3">
        <f t="shared" si="86"/>
        <v>108</v>
      </c>
      <c r="KG27" s="3">
        <f t="shared" si="87"/>
        <v>694</v>
      </c>
      <c r="KJ27">
        <v>1</v>
      </c>
      <c r="KK27">
        <v>4</v>
      </c>
      <c r="KL27">
        <v>1</v>
      </c>
      <c r="KM27">
        <v>7</v>
      </c>
      <c r="KP27" s="3">
        <f t="shared" si="88"/>
        <v>2</v>
      </c>
      <c r="KQ27" s="3">
        <f t="shared" si="89"/>
        <v>11</v>
      </c>
      <c r="KS27" s="5">
        <f t="shared" si="90"/>
        <v>110</v>
      </c>
      <c r="KT27" s="5">
        <f t="shared" si="91"/>
        <v>705</v>
      </c>
      <c r="KU27" s="10">
        <f t="shared" si="92"/>
        <v>6.4090909090909092</v>
      </c>
      <c r="KW27" s="5">
        <f t="shared" si="93"/>
        <v>3493</v>
      </c>
      <c r="KX27" s="5">
        <f t="shared" si="94"/>
        <v>20055</v>
      </c>
      <c r="KY27" s="10">
        <f t="shared" si="95"/>
        <v>5.7414829659318638</v>
      </c>
      <c r="LA27" s="15" t="s">
        <v>307</v>
      </c>
      <c r="LB27">
        <v>434096</v>
      </c>
      <c r="LD27" s="11">
        <f t="shared" si="96"/>
        <v>8.0466072020935453</v>
      </c>
      <c r="LE27" s="11">
        <f t="shared" si="97"/>
        <v>46.199458184364751</v>
      </c>
    </row>
    <row r="28" spans="1:319" ht="15.75" x14ac:dyDescent="0.25">
      <c r="A28" s="22" t="s">
        <v>383</v>
      </c>
      <c r="B28" s="24" t="s">
        <v>308</v>
      </c>
      <c r="C28" s="1"/>
      <c r="D28" s="1"/>
      <c r="E28">
        <v>1</v>
      </c>
      <c r="F28">
        <v>63</v>
      </c>
      <c r="G28">
        <f>14+2</f>
        <v>16</v>
      </c>
      <c r="H28">
        <f>184+32</f>
        <v>216</v>
      </c>
      <c r="L28">
        <v>138</v>
      </c>
      <c r="M28">
        <v>1012</v>
      </c>
      <c r="N28" s="3">
        <f t="shared" si="29"/>
        <v>138</v>
      </c>
      <c r="O28" s="3">
        <f t="shared" si="30"/>
        <v>1012</v>
      </c>
      <c r="P28" s="5">
        <f t="shared" si="31"/>
        <v>155</v>
      </c>
      <c r="Q28" s="5">
        <f t="shared" si="32"/>
        <v>1291</v>
      </c>
      <c r="R28" s="10">
        <f t="shared" si="33"/>
        <v>8.3290322580645153</v>
      </c>
      <c r="U28">
        <f>24+7+18</f>
        <v>49</v>
      </c>
      <c r="V28">
        <f>202+29+186</f>
        <v>417</v>
      </c>
      <c r="W28">
        <f>408+6+1</f>
        <v>415</v>
      </c>
      <c r="X28">
        <f>2905+19+3</f>
        <v>2927</v>
      </c>
      <c r="Y28">
        <v>111</v>
      </c>
      <c r="Z28">
        <v>720</v>
      </c>
      <c r="AA28" s="3">
        <f t="shared" si="34"/>
        <v>575</v>
      </c>
      <c r="AB28" s="3">
        <f t="shared" si="35"/>
        <v>4064</v>
      </c>
      <c r="AD28">
        <v>9</v>
      </c>
      <c r="AE28">
        <v>92</v>
      </c>
      <c r="AF28">
        <v>11</v>
      </c>
      <c r="AG28">
        <v>195</v>
      </c>
      <c r="AI28">
        <f>3+3</f>
        <v>6</v>
      </c>
      <c r="AJ28">
        <f>42+14</f>
        <v>56</v>
      </c>
      <c r="AK28">
        <v>16</v>
      </c>
      <c r="AL28">
        <v>169</v>
      </c>
      <c r="AM28" s="3">
        <f t="shared" si="36"/>
        <v>22</v>
      </c>
      <c r="AN28" s="3">
        <f t="shared" si="37"/>
        <v>225</v>
      </c>
      <c r="AP28" s="5">
        <f t="shared" si="38"/>
        <v>617</v>
      </c>
      <c r="AQ28" s="5">
        <f t="shared" si="39"/>
        <v>4576</v>
      </c>
      <c r="AR28" s="10">
        <f t="shared" si="40"/>
        <v>7.4165316045380871</v>
      </c>
      <c r="AU28">
        <f>11+5</f>
        <v>16</v>
      </c>
      <c r="AV28">
        <f>195+29</f>
        <v>224</v>
      </c>
      <c r="AW28">
        <v>141</v>
      </c>
      <c r="AX28">
        <v>958</v>
      </c>
      <c r="AY28" s="3">
        <f t="shared" si="41"/>
        <v>157</v>
      </c>
      <c r="AZ28" s="3">
        <f t="shared" si="42"/>
        <v>1182</v>
      </c>
      <c r="BB28" s="16"/>
      <c r="BC28" s="16"/>
      <c r="BD28" s="12">
        <v>2</v>
      </c>
      <c r="BE28" s="12">
        <v>21</v>
      </c>
      <c r="BF28" s="13">
        <f t="shared" si="43"/>
        <v>159</v>
      </c>
      <c r="BG28" s="13">
        <f t="shared" si="44"/>
        <v>1203</v>
      </c>
      <c r="BH28" s="10">
        <f t="shared" si="45"/>
        <v>7.5660377358490569</v>
      </c>
      <c r="BI28" s="10"/>
      <c r="BJ28" s="16"/>
      <c r="BK28" s="16"/>
      <c r="BL28" s="16"/>
      <c r="BM28" s="12">
        <v>22</v>
      </c>
      <c r="BN28" s="12">
        <v>624</v>
      </c>
      <c r="BO28" s="14">
        <f t="shared" si="46"/>
        <v>22</v>
      </c>
      <c r="BP28" s="14">
        <f t="shared" si="47"/>
        <v>624</v>
      </c>
      <c r="BQ28" s="12"/>
      <c r="BR28" s="12">
        <f>19+1</f>
        <v>20</v>
      </c>
      <c r="BS28" s="12">
        <f>110+21</f>
        <v>131</v>
      </c>
      <c r="BT28" s="12">
        <v>29</v>
      </c>
      <c r="BU28" s="12">
        <v>593</v>
      </c>
      <c r="BV28" s="12"/>
      <c r="BW28" s="12"/>
      <c r="BX28" s="14">
        <f t="shared" si="48"/>
        <v>49</v>
      </c>
      <c r="BY28" s="14">
        <f t="shared" si="49"/>
        <v>724</v>
      </c>
      <c r="BZ28" s="12"/>
      <c r="CA28" s="12"/>
      <c r="CB28" s="12"/>
      <c r="CC28" s="12"/>
      <c r="CD28" s="12"/>
      <c r="CE28" s="13">
        <f t="shared" si="50"/>
        <v>71</v>
      </c>
      <c r="CF28" s="13">
        <f t="shared" si="51"/>
        <v>1348</v>
      </c>
      <c r="CG28" s="10">
        <f t="shared" si="52"/>
        <v>18.985915492957748</v>
      </c>
      <c r="CH28" s="10"/>
      <c r="CI28" s="12"/>
      <c r="CJ28" s="12">
        <v>1</v>
      </c>
      <c r="CK28" s="12">
        <v>12</v>
      </c>
      <c r="CL28" s="12">
        <v>33</v>
      </c>
      <c r="CM28" s="12">
        <v>321</v>
      </c>
      <c r="CN28" s="14">
        <f t="shared" si="53"/>
        <v>34</v>
      </c>
      <c r="CO28" s="14">
        <f t="shared" si="54"/>
        <v>333</v>
      </c>
      <c r="CP28" s="12"/>
      <c r="CQ28" s="12"/>
      <c r="CR28" s="12">
        <v>1</v>
      </c>
      <c r="CS28">
        <v>14</v>
      </c>
      <c r="CT28">
        <v>979</v>
      </c>
      <c r="CU28">
        <v>10396</v>
      </c>
      <c r="CX28">
        <v>48</v>
      </c>
      <c r="CY28">
        <v>697</v>
      </c>
      <c r="DJ28">
        <v>4</v>
      </c>
      <c r="DK28">
        <v>62</v>
      </c>
      <c r="DT28">
        <v>20</v>
      </c>
      <c r="DU28">
        <v>211</v>
      </c>
      <c r="DV28" s="3">
        <f t="shared" si="55"/>
        <v>1052</v>
      </c>
      <c r="DW28" s="3">
        <f t="shared" si="56"/>
        <v>11380</v>
      </c>
      <c r="DY28">
        <v>3</v>
      </c>
      <c r="DZ28">
        <v>116</v>
      </c>
      <c r="EG28">
        <v>2</v>
      </c>
      <c r="EH28">
        <v>31</v>
      </c>
      <c r="EI28">
        <v>4</v>
      </c>
      <c r="EJ28">
        <v>80</v>
      </c>
      <c r="EK28" s="3">
        <f t="shared" si="57"/>
        <v>9</v>
      </c>
      <c r="EL28" s="3">
        <f t="shared" si="58"/>
        <v>227</v>
      </c>
      <c r="EM28" s="5">
        <f t="shared" si="59"/>
        <v>1095</v>
      </c>
      <c r="EN28" s="5">
        <f t="shared" si="60"/>
        <v>11940</v>
      </c>
      <c r="EO28" s="10">
        <f t="shared" si="61"/>
        <v>10.904109589041095</v>
      </c>
      <c r="EU28">
        <v>3</v>
      </c>
      <c r="EV28">
        <v>21</v>
      </c>
      <c r="EY28" s="3">
        <f t="shared" si="62"/>
        <v>3</v>
      </c>
      <c r="EZ28" s="3">
        <f t="shared" si="63"/>
        <v>21</v>
      </c>
      <c r="FB28">
        <v>46</v>
      </c>
      <c r="FC28">
        <v>1219</v>
      </c>
      <c r="FD28">
        <v>47</v>
      </c>
      <c r="FE28">
        <v>323</v>
      </c>
      <c r="FF28">
        <v>390</v>
      </c>
      <c r="FG28">
        <v>1087</v>
      </c>
      <c r="FH28" s="3">
        <f t="shared" si="64"/>
        <v>483</v>
      </c>
      <c r="FI28" s="3">
        <f t="shared" si="65"/>
        <v>2629</v>
      </c>
      <c r="FK28">
        <v>6</v>
      </c>
      <c r="FL28">
        <v>61</v>
      </c>
      <c r="FO28">
        <v>25</v>
      </c>
      <c r="FP28">
        <v>590</v>
      </c>
      <c r="FQ28" s="3">
        <f t="shared" si="66"/>
        <v>31</v>
      </c>
      <c r="FR28" s="3">
        <f t="shared" si="67"/>
        <v>651</v>
      </c>
      <c r="FV28">
        <v>11</v>
      </c>
      <c r="FW28">
        <v>74</v>
      </c>
      <c r="FX28">
        <v>26</v>
      </c>
      <c r="FY28">
        <v>223</v>
      </c>
      <c r="FZ28">
        <v>6</v>
      </c>
      <c r="GA28">
        <v>67</v>
      </c>
      <c r="GB28" s="3">
        <f t="shared" si="68"/>
        <v>43</v>
      </c>
      <c r="GC28" s="3">
        <f t="shared" si="69"/>
        <v>364</v>
      </c>
      <c r="GE28">
        <v>3</v>
      </c>
      <c r="GF28">
        <v>14</v>
      </c>
      <c r="GG28">
        <v>1</v>
      </c>
      <c r="GH28">
        <v>7</v>
      </c>
      <c r="GK28">
        <v>430</v>
      </c>
      <c r="GL28">
        <v>3137</v>
      </c>
      <c r="GO28">
        <v>3</v>
      </c>
      <c r="GP28">
        <v>20</v>
      </c>
      <c r="GQ28">
        <v>7</v>
      </c>
      <c r="GR28">
        <v>20</v>
      </c>
      <c r="GS28" s="3">
        <f t="shared" si="70"/>
        <v>444</v>
      </c>
      <c r="GT28" s="3">
        <f t="shared" si="71"/>
        <v>3198</v>
      </c>
      <c r="GU28" s="5">
        <f t="shared" si="72"/>
        <v>1004</v>
      </c>
      <c r="GV28" s="5">
        <f t="shared" si="73"/>
        <v>6863</v>
      </c>
      <c r="GW28" s="10">
        <f t="shared" si="74"/>
        <v>6.8356573705179287</v>
      </c>
      <c r="HB28">
        <v>47</v>
      </c>
      <c r="HC28">
        <v>622</v>
      </c>
      <c r="HD28">
        <v>22</v>
      </c>
      <c r="HE28">
        <v>135</v>
      </c>
      <c r="HF28">
        <v>113</v>
      </c>
      <c r="HG28">
        <v>867</v>
      </c>
      <c r="HH28">
        <v>804</v>
      </c>
      <c r="HI28">
        <v>3997</v>
      </c>
      <c r="HJ28">
        <v>36</v>
      </c>
      <c r="HK28">
        <v>131</v>
      </c>
      <c r="HL28">
        <v>13</v>
      </c>
      <c r="HM28">
        <v>84</v>
      </c>
      <c r="HN28">
        <v>4</v>
      </c>
      <c r="HO28">
        <v>39</v>
      </c>
      <c r="HP28" s="3">
        <f t="shared" si="75"/>
        <v>1039</v>
      </c>
      <c r="HQ28" s="3">
        <f t="shared" si="76"/>
        <v>5875</v>
      </c>
      <c r="HT28">
        <v>2</v>
      </c>
      <c r="HU28">
        <v>10</v>
      </c>
      <c r="HV28">
        <v>210</v>
      </c>
      <c r="HW28">
        <v>995</v>
      </c>
      <c r="HX28">
        <v>72</v>
      </c>
      <c r="HY28">
        <v>611</v>
      </c>
      <c r="HZ28">
        <v>7</v>
      </c>
      <c r="IA28">
        <v>53</v>
      </c>
      <c r="IB28">
        <v>3</v>
      </c>
      <c r="IC28">
        <v>32</v>
      </c>
      <c r="ID28" s="3">
        <f t="shared" si="77"/>
        <v>294</v>
      </c>
      <c r="IE28" s="3">
        <f t="shared" si="78"/>
        <v>1701</v>
      </c>
      <c r="IF28" s="3"/>
      <c r="IG28">
        <v>3</v>
      </c>
      <c r="IH28">
        <v>24</v>
      </c>
      <c r="II28">
        <v>17</v>
      </c>
      <c r="IJ28">
        <v>101</v>
      </c>
      <c r="IK28" s="3">
        <f t="shared" si="79"/>
        <v>20</v>
      </c>
      <c r="IL28" s="3">
        <f t="shared" si="80"/>
        <v>125</v>
      </c>
      <c r="IR28">
        <v>1</v>
      </c>
      <c r="IS28">
        <v>16</v>
      </c>
      <c r="IV28">
        <v>301</v>
      </c>
      <c r="IW28">
        <v>1548</v>
      </c>
      <c r="IX28">
        <v>79</v>
      </c>
      <c r="IY28">
        <v>439</v>
      </c>
      <c r="IZ28">
        <v>17</v>
      </c>
      <c r="JA28">
        <v>109</v>
      </c>
      <c r="JB28">
        <v>15</v>
      </c>
      <c r="JC28">
        <v>83</v>
      </c>
      <c r="JD28">
        <v>3</v>
      </c>
      <c r="JE28">
        <v>17</v>
      </c>
      <c r="JF28" s="3">
        <f t="shared" si="81"/>
        <v>416</v>
      </c>
      <c r="JG28" s="3">
        <f t="shared" si="82"/>
        <v>2212</v>
      </c>
      <c r="JI28" s="5">
        <f t="shared" si="83"/>
        <v>1769</v>
      </c>
      <c r="JJ28" s="5">
        <f t="shared" si="84"/>
        <v>9913</v>
      </c>
      <c r="JK28" s="10">
        <f t="shared" si="85"/>
        <v>5.6037309214245337</v>
      </c>
      <c r="JR28">
        <v>8</v>
      </c>
      <c r="JS28">
        <v>596</v>
      </c>
      <c r="JT28">
        <v>70</v>
      </c>
      <c r="JU28">
        <v>469</v>
      </c>
      <c r="JV28">
        <v>202</v>
      </c>
      <c r="JW28">
        <v>994</v>
      </c>
      <c r="JZ28">
        <v>1</v>
      </c>
      <c r="KA28">
        <v>69</v>
      </c>
      <c r="KB28">
        <v>17</v>
      </c>
      <c r="KC28">
        <v>185</v>
      </c>
      <c r="KD28">
        <v>6</v>
      </c>
      <c r="KE28">
        <v>16</v>
      </c>
      <c r="KF28" s="3">
        <f t="shared" si="86"/>
        <v>304</v>
      </c>
      <c r="KG28" s="3">
        <f t="shared" si="87"/>
        <v>2329</v>
      </c>
      <c r="KJ28">
        <f>2+4</f>
        <v>6</v>
      </c>
      <c r="KK28">
        <f>14+33</f>
        <v>47</v>
      </c>
      <c r="KL28">
        <v>2</v>
      </c>
      <c r="KM28">
        <v>39</v>
      </c>
      <c r="KP28" s="3">
        <f t="shared" si="88"/>
        <v>8</v>
      </c>
      <c r="KQ28" s="3">
        <f t="shared" si="89"/>
        <v>86</v>
      </c>
      <c r="KS28" s="5">
        <f t="shared" si="90"/>
        <v>312</v>
      </c>
      <c r="KT28" s="5">
        <f t="shared" si="91"/>
        <v>2415</v>
      </c>
      <c r="KU28" s="10">
        <f t="shared" si="92"/>
        <v>7.740384615384615</v>
      </c>
      <c r="KW28" s="5">
        <f t="shared" si="93"/>
        <v>5182</v>
      </c>
      <c r="KX28" s="5">
        <f t="shared" si="94"/>
        <v>39549</v>
      </c>
      <c r="KY28" s="10">
        <f t="shared" si="95"/>
        <v>7.6319953685835582</v>
      </c>
      <c r="LA28" s="15" t="s">
        <v>308</v>
      </c>
      <c r="LB28">
        <v>372607</v>
      </c>
      <c r="LD28" s="11">
        <f t="shared" si="96"/>
        <v>13.907414514488455</v>
      </c>
      <c r="LE28" s="11">
        <f t="shared" si="97"/>
        <v>106.14132316354765</v>
      </c>
    </row>
    <row r="29" spans="1:319" ht="15.75" x14ac:dyDescent="0.25">
      <c r="A29" s="22" t="s">
        <v>384</v>
      </c>
      <c r="B29" s="24" t="s">
        <v>309</v>
      </c>
      <c r="C29" s="1"/>
      <c r="D29" s="1"/>
      <c r="E29">
        <v>4</v>
      </c>
      <c r="F29">
        <v>29</v>
      </c>
      <c r="G29">
        <f>10+1+1</f>
        <v>12</v>
      </c>
      <c r="H29">
        <f>52+2+6</f>
        <v>60</v>
      </c>
      <c r="L29">
        <v>33</v>
      </c>
      <c r="M29">
        <v>149</v>
      </c>
      <c r="N29" s="3">
        <f t="shared" si="29"/>
        <v>33</v>
      </c>
      <c r="O29" s="3">
        <f t="shared" si="30"/>
        <v>149</v>
      </c>
      <c r="P29" s="5">
        <f t="shared" si="31"/>
        <v>49</v>
      </c>
      <c r="Q29" s="5">
        <f t="shared" si="32"/>
        <v>238</v>
      </c>
      <c r="R29" s="10">
        <f t="shared" si="33"/>
        <v>4.8571428571428568</v>
      </c>
      <c r="U29">
        <f>1+1+3+3</f>
        <v>8</v>
      </c>
      <c r="V29">
        <f>21+3+23+22</f>
        <v>69</v>
      </c>
      <c r="W29">
        <f>41+2+20</f>
        <v>63</v>
      </c>
      <c r="X29">
        <f>279+22+42</f>
        <v>343</v>
      </c>
      <c r="Y29">
        <v>37</v>
      </c>
      <c r="Z29">
        <v>189</v>
      </c>
      <c r="AA29" s="3">
        <f t="shared" si="34"/>
        <v>108</v>
      </c>
      <c r="AB29" s="3">
        <f t="shared" si="35"/>
        <v>601</v>
      </c>
      <c r="AD29">
        <v>8</v>
      </c>
      <c r="AE29">
        <v>55</v>
      </c>
      <c r="AF29">
        <v>6</v>
      </c>
      <c r="AG29">
        <v>69</v>
      </c>
      <c r="AI29">
        <v>3</v>
      </c>
      <c r="AJ29">
        <v>18</v>
      </c>
      <c r="AK29">
        <v>12</v>
      </c>
      <c r="AL29">
        <v>92</v>
      </c>
      <c r="AM29" s="3">
        <f t="shared" si="36"/>
        <v>15</v>
      </c>
      <c r="AN29" s="3">
        <f t="shared" si="37"/>
        <v>110</v>
      </c>
      <c r="AP29" s="5">
        <f t="shared" si="38"/>
        <v>137</v>
      </c>
      <c r="AQ29" s="5">
        <f t="shared" si="39"/>
        <v>835</v>
      </c>
      <c r="AR29" s="10">
        <f t="shared" si="40"/>
        <v>6.0948905109489049</v>
      </c>
      <c r="AU29">
        <v>10</v>
      </c>
      <c r="AV29">
        <v>139</v>
      </c>
      <c r="AW29">
        <v>33</v>
      </c>
      <c r="AX29">
        <v>127</v>
      </c>
      <c r="AY29" s="3">
        <f t="shared" si="41"/>
        <v>43</v>
      </c>
      <c r="AZ29" s="3">
        <f t="shared" si="42"/>
        <v>266</v>
      </c>
      <c r="BB29">
        <v>10</v>
      </c>
      <c r="BC29">
        <v>17</v>
      </c>
      <c r="BD29">
        <v>4</v>
      </c>
      <c r="BE29">
        <v>22</v>
      </c>
      <c r="BF29" s="13">
        <f t="shared" si="43"/>
        <v>57</v>
      </c>
      <c r="BG29" s="13">
        <f t="shared" si="44"/>
        <v>305</v>
      </c>
      <c r="BH29" s="10">
        <f t="shared" si="45"/>
        <v>5.3508771929824563</v>
      </c>
      <c r="BI29" s="10"/>
      <c r="BK29">
        <v>2</v>
      </c>
      <c r="BL29">
        <v>20</v>
      </c>
      <c r="BM29">
        <v>13</v>
      </c>
      <c r="BN29">
        <v>304</v>
      </c>
      <c r="BO29" s="14">
        <f t="shared" si="46"/>
        <v>15</v>
      </c>
      <c r="BP29" s="14">
        <f t="shared" si="47"/>
        <v>324</v>
      </c>
      <c r="BR29">
        <f>2+1</f>
        <v>3</v>
      </c>
      <c r="BS29">
        <f>15+3</f>
        <v>18</v>
      </c>
      <c r="BT29">
        <v>12</v>
      </c>
      <c r="BU29">
        <v>136</v>
      </c>
      <c r="BX29" s="14">
        <f t="shared" si="48"/>
        <v>15</v>
      </c>
      <c r="BY29" s="14">
        <f t="shared" si="49"/>
        <v>154</v>
      </c>
      <c r="CC29">
        <v>1</v>
      </c>
      <c r="CD29">
        <v>6</v>
      </c>
      <c r="CE29" s="13">
        <f t="shared" si="50"/>
        <v>31</v>
      </c>
      <c r="CF29" s="13">
        <f t="shared" si="51"/>
        <v>484</v>
      </c>
      <c r="CG29" s="10">
        <f t="shared" si="52"/>
        <v>15.612903225806452</v>
      </c>
      <c r="CH29" s="10"/>
      <c r="CJ29">
        <v>2</v>
      </c>
      <c r="CK29">
        <v>18</v>
      </c>
      <c r="CL29">
        <v>49</v>
      </c>
      <c r="CM29">
        <v>191</v>
      </c>
      <c r="CN29" s="14">
        <f t="shared" si="53"/>
        <v>51</v>
      </c>
      <c r="CO29" s="14">
        <f t="shared" si="54"/>
        <v>209</v>
      </c>
      <c r="CP29" s="12"/>
      <c r="CT29">
        <v>309</v>
      </c>
      <c r="CU29">
        <v>2831</v>
      </c>
      <c r="CX29">
        <v>31</v>
      </c>
      <c r="CY29">
        <v>214</v>
      </c>
      <c r="DJ29">
        <v>4</v>
      </c>
      <c r="DK29">
        <v>54</v>
      </c>
      <c r="DT29">
        <v>10</v>
      </c>
      <c r="DU29">
        <v>40</v>
      </c>
      <c r="DV29" s="3">
        <f t="shared" si="55"/>
        <v>354</v>
      </c>
      <c r="DW29" s="3">
        <f t="shared" si="56"/>
        <v>3139</v>
      </c>
      <c r="DY29">
        <v>5</v>
      </c>
      <c r="DZ29">
        <v>227</v>
      </c>
      <c r="EG29">
        <v>61</v>
      </c>
      <c r="EH29">
        <v>976</v>
      </c>
      <c r="EI29">
        <v>1</v>
      </c>
      <c r="EJ29">
        <v>34</v>
      </c>
      <c r="EK29" s="3">
        <f t="shared" si="57"/>
        <v>67</v>
      </c>
      <c r="EL29" s="3">
        <f t="shared" si="58"/>
        <v>1237</v>
      </c>
      <c r="EM29" s="5">
        <f t="shared" si="59"/>
        <v>472</v>
      </c>
      <c r="EN29" s="5">
        <f t="shared" si="60"/>
        <v>4585</v>
      </c>
      <c r="EO29" s="10">
        <f t="shared" si="61"/>
        <v>9.7139830508474585</v>
      </c>
      <c r="EY29" s="3">
        <f t="shared" si="62"/>
        <v>0</v>
      </c>
      <c r="EZ29" s="3">
        <f t="shared" si="63"/>
        <v>0</v>
      </c>
      <c r="FD29">
        <v>14</v>
      </c>
      <c r="FE29">
        <v>94</v>
      </c>
      <c r="FF29">
        <v>4</v>
      </c>
      <c r="FG29">
        <v>40</v>
      </c>
      <c r="FH29" s="3">
        <f t="shared" si="64"/>
        <v>18</v>
      </c>
      <c r="FI29" s="3">
        <f t="shared" si="65"/>
        <v>134</v>
      </c>
      <c r="FK29">
        <v>1</v>
      </c>
      <c r="FL29">
        <v>2</v>
      </c>
      <c r="FO29">
        <v>6</v>
      </c>
      <c r="FP29">
        <v>49</v>
      </c>
      <c r="FQ29" s="3">
        <f t="shared" si="66"/>
        <v>7</v>
      </c>
      <c r="FR29" s="3">
        <f t="shared" si="67"/>
        <v>51</v>
      </c>
      <c r="FT29">
        <v>1</v>
      </c>
      <c r="FU29">
        <v>3</v>
      </c>
      <c r="FV29">
        <v>2</v>
      </c>
      <c r="FW29">
        <v>11</v>
      </c>
      <c r="FX29">
        <v>6</v>
      </c>
      <c r="FY29">
        <v>52</v>
      </c>
      <c r="FZ29">
        <v>3</v>
      </c>
      <c r="GA29">
        <v>40</v>
      </c>
      <c r="GB29" s="3">
        <f t="shared" si="68"/>
        <v>12</v>
      </c>
      <c r="GC29" s="3">
        <f t="shared" si="69"/>
        <v>106</v>
      </c>
      <c r="GE29">
        <f>86+16</f>
        <v>102</v>
      </c>
      <c r="GF29">
        <f>147+48</f>
        <v>195</v>
      </c>
      <c r="GG29">
        <v>1</v>
      </c>
      <c r="GH29">
        <v>9</v>
      </c>
      <c r="GI29">
        <v>45</v>
      </c>
      <c r="GJ29">
        <v>94</v>
      </c>
      <c r="GK29">
        <v>114</v>
      </c>
      <c r="GL29">
        <v>551</v>
      </c>
      <c r="GM29">
        <v>256</v>
      </c>
      <c r="GN29">
        <v>926</v>
      </c>
      <c r="GO29">
        <v>63</v>
      </c>
      <c r="GP29">
        <v>205</v>
      </c>
      <c r="GQ29">
        <v>1</v>
      </c>
      <c r="GR29">
        <v>11</v>
      </c>
      <c r="GS29" s="3">
        <f t="shared" si="70"/>
        <v>582</v>
      </c>
      <c r="GT29" s="3">
        <f t="shared" si="71"/>
        <v>1991</v>
      </c>
      <c r="GU29" s="5">
        <f t="shared" si="72"/>
        <v>619</v>
      </c>
      <c r="GV29" s="5">
        <f t="shared" si="73"/>
        <v>2282</v>
      </c>
      <c r="GW29" s="10">
        <f t="shared" si="74"/>
        <v>3.6865912762520194</v>
      </c>
      <c r="HB29">
        <v>75</v>
      </c>
      <c r="HC29">
        <v>593</v>
      </c>
      <c r="HF29">
        <v>36</v>
      </c>
      <c r="HG29">
        <v>306</v>
      </c>
      <c r="HH29">
        <v>142</v>
      </c>
      <c r="HI29">
        <v>540</v>
      </c>
      <c r="HJ29">
        <v>21</v>
      </c>
      <c r="HK29">
        <v>111</v>
      </c>
      <c r="HL29">
        <v>7</v>
      </c>
      <c r="HM29">
        <v>33</v>
      </c>
      <c r="HN29">
        <v>2</v>
      </c>
      <c r="HO29">
        <v>25</v>
      </c>
      <c r="HP29" s="3">
        <f t="shared" si="75"/>
        <v>283</v>
      </c>
      <c r="HQ29" s="3">
        <f t="shared" si="76"/>
        <v>1608</v>
      </c>
      <c r="HV29">
        <v>18</v>
      </c>
      <c r="HW29">
        <v>170</v>
      </c>
      <c r="HX29">
        <v>36</v>
      </c>
      <c r="HY29">
        <v>159</v>
      </c>
      <c r="HZ29">
        <v>2</v>
      </c>
      <c r="IA29">
        <v>12</v>
      </c>
      <c r="IB29">
        <v>2</v>
      </c>
      <c r="IC29">
        <v>13</v>
      </c>
      <c r="ID29" s="3">
        <f t="shared" si="77"/>
        <v>58</v>
      </c>
      <c r="IE29" s="3">
        <f t="shared" si="78"/>
        <v>354</v>
      </c>
      <c r="IF29" s="3"/>
      <c r="II29">
        <v>6</v>
      </c>
      <c r="IJ29">
        <v>64</v>
      </c>
      <c r="IK29" s="3">
        <f t="shared" si="79"/>
        <v>6</v>
      </c>
      <c r="IL29" s="3">
        <f t="shared" si="80"/>
        <v>64</v>
      </c>
      <c r="IR29">
        <v>1</v>
      </c>
      <c r="IS29">
        <v>4</v>
      </c>
      <c r="IV29">
        <v>92</v>
      </c>
      <c r="IW29">
        <v>420</v>
      </c>
      <c r="IX29">
        <v>24</v>
      </c>
      <c r="IY29">
        <v>120</v>
      </c>
      <c r="IZ29">
        <v>2</v>
      </c>
      <c r="JA29">
        <v>18</v>
      </c>
      <c r="JB29">
        <v>2</v>
      </c>
      <c r="JC29">
        <v>6</v>
      </c>
      <c r="JF29" s="3">
        <f t="shared" si="81"/>
        <v>121</v>
      </c>
      <c r="JG29" s="3">
        <f t="shared" si="82"/>
        <v>568</v>
      </c>
      <c r="JI29" s="5">
        <f t="shared" si="83"/>
        <v>468</v>
      </c>
      <c r="JJ29" s="5">
        <f t="shared" si="84"/>
        <v>2594</v>
      </c>
      <c r="JK29" s="10">
        <f t="shared" si="85"/>
        <v>5.5427350427350426</v>
      </c>
      <c r="JN29">
        <v>15</v>
      </c>
      <c r="JO29">
        <v>31</v>
      </c>
      <c r="JR29">
        <v>1</v>
      </c>
      <c r="JS29">
        <v>83</v>
      </c>
      <c r="JT29">
        <v>16</v>
      </c>
      <c r="JU29">
        <v>146</v>
      </c>
      <c r="JV29">
        <v>14</v>
      </c>
      <c r="JW29">
        <v>131</v>
      </c>
      <c r="JX29">
        <v>12</v>
      </c>
      <c r="JY29">
        <v>25</v>
      </c>
      <c r="JZ29">
        <v>1</v>
      </c>
      <c r="KA29">
        <v>3</v>
      </c>
      <c r="KB29">
        <v>5</v>
      </c>
      <c r="KC29">
        <v>28</v>
      </c>
      <c r="KF29" s="3">
        <f t="shared" si="86"/>
        <v>64</v>
      </c>
      <c r="KG29" s="3">
        <f t="shared" si="87"/>
        <v>447</v>
      </c>
      <c r="KJ29">
        <f>1+1+1</f>
        <v>3</v>
      </c>
      <c r="KK29">
        <f>9+6+6</f>
        <v>21</v>
      </c>
      <c r="KL29">
        <v>1</v>
      </c>
      <c r="KM29">
        <v>31</v>
      </c>
      <c r="KP29" s="3">
        <f t="shared" si="88"/>
        <v>4</v>
      </c>
      <c r="KQ29" s="3">
        <f t="shared" si="89"/>
        <v>52</v>
      </c>
      <c r="KS29" s="5">
        <f t="shared" si="90"/>
        <v>68</v>
      </c>
      <c r="KT29" s="5">
        <f t="shared" si="91"/>
        <v>499</v>
      </c>
      <c r="KU29" s="10">
        <f t="shared" si="92"/>
        <v>7.3382352941176467</v>
      </c>
      <c r="KW29" s="5">
        <f t="shared" si="93"/>
        <v>1901</v>
      </c>
      <c r="KX29" s="5">
        <f t="shared" si="94"/>
        <v>11822</v>
      </c>
      <c r="KY29" s="10">
        <f t="shared" si="95"/>
        <v>6.2188321935823252</v>
      </c>
      <c r="LA29" s="15" t="s">
        <v>310</v>
      </c>
      <c r="LB29">
        <v>431307</v>
      </c>
      <c r="LD29" s="11">
        <f t="shared" si="96"/>
        <v>4.4075333810951367</v>
      </c>
      <c r="LE29" s="11">
        <f t="shared" si="97"/>
        <v>27.409710484643192</v>
      </c>
    </row>
    <row r="30" spans="1:319" ht="15.75" x14ac:dyDescent="0.25">
      <c r="A30" s="22" t="s">
        <v>385</v>
      </c>
      <c r="B30" s="24" t="s">
        <v>311</v>
      </c>
      <c r="C30" s="1"/>
      <c r="D30" s="1"/>
      <c r="G30">
        <v>9</v>
      </c>
      <c r="H30">
        <v>280</v>
      </c>
      <c r="L30">
        <v>85</v>
      </c>
      <c r="M30">
        <v>1028</v>
      </c>
      <c r="N30" s="3">
        <f t="shared" si="29"/>
        <v>85</v>
      </c>
      <c r="O30" s="3">
        <f t="shared" si="30"/>
        <v>1028</v>
      </c>
      <c r="P30" s="5">
        <f t="shared" si="31"/>
        <v>94</v>
      </c>
      <c r="Q30" s="5">
        <f t="shared" si="32"/>
        <v>1308</v>
      </c>
      <c r="R30" s="10">
        <f t="shared" si="33"/>
        <v>13.914893617021276</v>
      </c>
      <c r="U30">
        <f>5+7+1+1</f>
        <v>14</v>
      </c>
      <c r="V30">
        <f>81+83+31+11</f>
        <v>206</v>
      </c>
      <c r="W30">
        <v>115</v>
      </c>
      <c r="X30">
        <v>2087</v>
      </c>
      <c r="Y30">
        <v>80</v>
      </c>
      <c r="Z30">
        <v>1932</v>
      </c>
      <c r="AA30" s="3">
        <f t="shared" si="34"/>
        <v>209</v>
      </c>
      <c r="AB30" s="3">
        <f t="shared" si="35"/>
        <v>4225</v>
      </c>
      <c r="AD30">
        <v>20</v>
      </c>
      <c r="AE30">
        <v>483</v>
      </c>
      <c r="AF30">
        <v>6</v>
      </c>
      <c r="AG30">
        <v>145</v>
      </c>
      <c r="AK30">
        <v>37</v>
      </c>
      <c r="AL30">
        <v>893</v>
      </c>
      <c r="AM30" s="3">
        <f t="shared" si="36"/>
        <v>37</v>
      </c>
      <c r="AN30" s="3">
        <f t="shared" si="37"/>
        <v>893</v>
      </c>
      <c r="AP30" s="5">
        <f t="shared" si="38"/>
        <v>272</v>
      </c>
      <c r="AQ30" s="5">
        <f t="shared" si="39"/>
        <v>5746</v>
      </c>
      <c r="AR30" s="10">
        <f t="shared" si="40"/>
        <v>21.125</v>
      </c>
      <c r="AU30">
        <v>12</v>
      </c>
      <c r="AV30">
        <v>470</v>
      </c>
      <c r="AW30">
        <v>57</v>
      </c>
      <c r="AX30">
        <v>1377</v>
      </c>
      <c r="AY30" s="3">
        <f t="shared" si="41"/>
        <v>69</v>
      </c>
      <c r="AZ30" s="3">
        <f t="shared" si="42"/>
        <v>1847</v>
      </c>
      <c r="BF30" s="13">
        <f t="shared" si="43"/>
        <v>69</v>
      </c>
      <c r="BG30" s="13">
        <f t="shared" si="44"/>
        <v>1847</v>
      </c>
      <c r="BH30" s="10">
        <f t="shared" si="45"/>
        <v>26.768115942028984</v>
      </c>
      <c r="BI30" s="10"/>
      <c r="BM30">
        <v>22</v>
      </c>
      <c r="BN30">
        <v>950</v>
      </c>
      <c r="BO30" s="14">
        <f t="shared" si="46"/>
        <v>22</v>
      </c>
      <c r="BP30" s="14">
        <f t="shared" si="47"/>
        <v>950</v>
      </c>
      <c r="BR30">
        <v>71</v>
      </c>
      <c r="BS30">
        <v>1143</v>
      </c>
      <c r="BT30">
        <v>85</v>
      </c>
      <c r="BU30">
        <v>1543</v>
      </c>
      <c r="BX30" s="14">
        <f t="shared" si="48"/>
        <v>156</v>
      </c>
      <c r="BY30" s="14">
        <f t="shared" si="49"/>
        <v>2686</v>
      </c>
      <c r="CE30" s="13">
        <f t="shared" si="50"/>
        <v>178</v>
      </c>
      <c r="CF30" s="13">
        <f t="shared" si="51"/>
        <v>3636</v>
      </c>
      <c r="CG30" s="10">
        <f t="shared" si="52"/>
        <v>20.426966292134832</v>
      </c>
      <c r="CH30" s="10"/>
      <c r="CJ30">
        <v>8</v>
      </c>
      <c r="CK30">
        <v>203</v>
      </c>
      <c r="CL30">
        <v>86</v>
      </c>
      <c r="CM30">
        <v>2564</v>
      </c>
      <c r="CN30" s="14">
        <f t="shared" si="53"/>
        <v>94</v>
      </c>
      <c r="CO30" s="14">
        <f t="shared" si="54"/>
        <v>2767</v>
      </c>
      <c r="CP30" s="12"/>
      <c r="CT30">
        <v>541</v>
      </c>
      <c r="CU30">
        <v>8127</v>
      </c>
      <c r="CX30">
        <v>33</v>
      </c>
      <c r="CY30">
        <v>299</v>
      </c>
      <c r="DB30">
        <v>1</v>
      </c>
      <c r="DC30">
        <v>600</v>
      </c>
      <c r="DJ30">
        <v>10</v>
      </c>
      <c r="DK30">
        <v>241</v>
      </c>
      <c r="DT30">
        <v>11</v>
      </c>
      <c r="DU30">
        <v>208</v>
      </c>
      <c r="DV30" s="3">
        <f t="shared" si="55"/>
        <v>596</v>
      </c>
      <c r="DW30" s="3">
        <f t="shared" si="56"/>
        <v>9475</v>
      </c>
      <c r="DY30">
        <v>9</v>
      </c>
      <c r="DZ30">
        <v>628</v>
      </c>
      <c r="EG30">
        <v>2</v>
      </c>
      <c r="EH30">
        <v>118</v>
      </c>
      <c r="EI30">
        <v>10</v>
      </c>
      <c r="EJ30">
        <v>442</v>
      </c>
      <c r="EK30" s="3">
        <f t="shared" si="57"/>
        <v>21</v>
      </c>
      <c r="EL30" s="3">
        <f t="shared" si="58"/>
        <v>1188</v>
      </c>
      <c r="EM30" s="5">
        <f t="shared" si="59"/>
        <v>711</v>
      </c>
      <c r="EN30" s="5">
        <f t="shared" si="60"/>
        <v>13430</v>
      </c>
      <c r="EO30" s="10">
        <f t="shared" si="61"/>
        <v>18.888888888888889</v>
      </c>
      <c r="EU30">
        <v>4</v>
      </c>
      <c r="EV30">
        <v>36</v>
      </c>
      <c r="EY30" s="3">
        <f t="shared" si="62"/>
        <v>4</v>
      </c>
      <c r="EZ30" s="3">
        <f t="shared" si="63"/>
        <v>36</v>
      </c>
      <c r="FD30">
        <v>86</v>
      </c>
      <c r="FE30">
        <v>1385</v>
      </c>
      <c r="FF30">
        <v>3</v>
      </c>
      <c r="FG30">
        <v>38</v>
      </c>
      <c r="FH30" s="3">
        <f t="shared" si="64"/>
        <v>89</v>
      </c>
      <c r="FI30" s="3">
        <f t="shared" si="65"/>
        <v>1423</v>
      </c>
      <c r="FK30">
        <v>2</v>
      </c>
      <c r="FL30">
        <v>48</v>
      </c>
      <c r="FQ30" s="3">
        <f t="shared" si="66"/>
        <v>2</v>
      </c>
      <c r="FR30" s="3">
        <f t="shared" si="67"/>
        <v>48</v>
      </c>
      <c r="FZ30">
        <v>7</v>
      </c>
      <c r="GA30">
        <v>127</v>
      </c>
      <c r="GB30" s="3">
        <f t="shared" si="68"/>
        <v>7</v>
      </c>
      <c r="GC30" s="3">
        <f t="shared" si="69"/>
        <v>127</v>
      </c>
      <c r="GE30">
        <v>8</v>
      </c>
      <c r="GF30">
        <v>129</v>
      </c>
      <c r="GK30">
        <v>178</v>
      </c>
      <c r="GL30">
        <v>3231</v>
      </c>
      <c r="GM30">
        <v>56</v>
      </c>
      <c r="GN30">
        <v>902</v>
      </c>
      <c r="GO30">
        <v>19</v>
      </c>
      <c r="GP30">
        <v>502</v>
      </c>
      <c r="GS30" s="3">
        <f t="shared" si="70"/>
        <v>261</v>
      </c>
      <c r="GT30" s="3">
        <f t="shared" si="71"/>
        <v>4764</v>
      </c>
      <c r="GU30" s="5">
        <f t="shared" si="72"/>
        <v>363</v>
      </c>
      <c r="GV30" s="5">
        <f t="shared" si="73"/>
        <v>6398</v>
      </c>
      <c r="GW30" s="10">
        <f t="shared" si="74"/>
        <v>17.625344352617081</v>
      </c>
      <c r="HB30">
        <v>174</v>
      </c>
      <c r="HC30">
        <v>2984</v>
      </c>
      <c r="HD30">
        <v>8</v>
      </c>
      <c r="HE30">
        <v>137</v>
      </c>
      <c r="HF30">
        <v>115</v>
      </c>
      <c r="HG30">
        <v>2087</v>
      </c>
      <c r="HH30">
        <v>631</v>
      </c>
      <c r="HI30">
        <v>14607</v>
      </c>
      <c r="HJ30">
        <v>77</v>
      </c>
      <c r="HK30">
        <v>1578</v>
      </c>
      <c r="HL30">
        <v>14</v>
      </c>
      <c r="HM30">
        <v>438</v>
      </c>
      <c r="HN30">
        <v>2</v>
      </c>
      <c r="HO30">
        <v>42</v>
      </c>
      <c r="HP30" s="3">
        <f t="shared" si="75"/>
        <v>1021</v>
      </c>
      <c r="HQ30" s="3">
        <f t="shared" si="76"/>
        <v>21873</v>
      </c>
      <c r="HV30">
        <v>125</v>
      </c>
      <c r="HW30">
        <v>3159</v>
      </c>
      <c r="HX30">
        <v>93</v>
      </c>
      <c r="HY30">
        <v>2246</v>
      </c>
      <c r="HZ30">
        <v>7</v>
      </c>
      <c r="IA30">
        <v>161</v>
      </c>
      <c r="IB30">
        <v>2</v>
      </c>
      <c r="IC30">
        <v>46</v>
      </c>
      <c r="ID30" s="3">
        <f t="shared" si="77"/>
        <v>227</v>
      </c>
      <c r="IE30" s="3">
        <f t="shared" si="78"/>
        <v>5612</v>
      </c>
      <c r="IF30" s="3"/>
      <c r="IG30">
        <v>1</v>
      </c>
      <c r="IH30">
        <v>18</v>
      </c>
      <c r="II30">
        <v>14</v>
      </c>
      <c r="IJ30">
        <v>230</v>
      </c>
      <c r="IK30" s="3">
        <f t="shared" si="79"/>
        <v>15</v>
      </c>
      <c r="IL30" s="3">
        <f t="shared" si="80"/>
        <v>248</v>
      </c>
      <c r="IR30">
        <v>13</v>
      </c>
      <c r="IS30">
        <v>77</v>
      </c>
      <c r="IV30">
        <v>188</v>
      </c>
      <c r="IW30">
        <v>3612</v>
      </c>
      <c r="IX30">
        <v>76</v>
      </c>
      <c r="IY30">
        <v>1252</v>
      </c>
      <c r="IZ30">
        <v>9</v>
      </c>
      <c r="JA30">
        <v>208</v>
      </c>
      <c r="JB30">
        <v>31</v>
      </c>
      <c r="JC30">
        <v>399</v>
      </c>
      <c r="JF30" s="3">
        <f t="shared" si="81"/>
        <v>317</v>
      </c>
      <c r="JG30" s="3">
        <f t="shared" si="82"/>
        <v>5548</v>
      </c>
      <c r="JI30" s="5">
        <f t="shared" si="83"/>
        <v>1580</v>
      </c>
      <c r="JJ30" s="5">
        <f t="shared" si="84"/>
        <v>33281</v>
      </c>
      <c r="JK30" s="10">
        <f t="shared" si="85"/>
        <v>21.063924050632913</v>
      </c>
      <c r="JN30">
        <v>2</v>
      </c>
      <c r="JO30">
        <v>33</v>
      </c>
      <c r="JT30">
        <v>72</v>
      </c>
      <c r="JU30">
        <v>1747</v>
      </c>
      <c r="JV30">
        <v>44</v>
      </c>
      <c r="JW30">
        <v>1505</v>
      </c>
      <c r="KB30">
        <v>16</v>
      </c>
      <c r="KC30">
        <v>386</v>
      </c>
      <c r="KF30" s="3">
        <f t="shared" si="86"/>
        <v>134</v>
      </c>
      <c r="KG30" s="3">
        <f t="shared" si="87"/>
        <v>3671</v>
      </c>
      <c r="KL30">
        <v>2</v>
      </c>
      <c r="KM30">
        <v>204</v>
      </c>
      <c r="KP30" s="3">
        <f t="shared" si="88"/>
        <v>2</v>
      </c>
      <c r="KQ30" s="3">
        <f t="shared" si="89"/>
        <v>204</v>
      </c>
      <c r="KS30" s="5">
        <f t="shared" si="90"/>
        <v>136</v>
      </c>
      <c r="KT30" s="5">
        <f t="shared" si="91"/>
        <v>3875</v>
      </c>
      <c r="KU30" s="10">
        <f t="shared" si="92"/>
        <v>28.492647058823529</v>
      </c>
      <c r="KW30" s="5">
        <f t="shared" si="93"/>
        <v>3403</v>
      </c>
      <c r="KX30" s="5">
        <f t="shared" si="94"/>
        <v>69521</v>
      </c>
      <c r="KY30" s="10">
        <f t="shared" si="95"/>
        <v>20.429327064354982</v>
      </c>
      <c r="LA30" s="15" t="s">
        <v>311</v>
      </c>
      <c r="LB30">
        <v>404090</v>
      </c>
      <c r="LD30" s="11">
        <f t="shared" si="96"/>
        <v>8.4213912742210884</v>
      </c>
      <c r="LE30" s="11">
        <f t="shared" si="97"/>
        <v>172.04335667796778</v>
      </c>
    </row>
    <row r="31" spans="1:319" ht="15.75" x14ac:dyDescent="0.25">
      <c r="A31" s="22" t="s">
        <v>386</v>
      </c>
      <c r="B31" s="24" t="s">
        <v>312</v>
      </c>
      <c r="C31" s="1"/>
      <c r="D31" s="1"/>
      <c r="G31">
        <f>10+1+1</f>
        <v>12</v>
      </c>
      <c r="H31">
        <f>89+28+14</f>
        <v>131</v>
      </c>
      <c r="L31">
        <v>170</v>
      </c>
      <c r="M31">
        <v>558</v>
      </c>
      <c r="N31" s="3">
        <f t="shared" si="29"/>
        <v>170</v>
      </c>
      <c r="O31" s="3">
        <f t="shared" si="30"/>
        <v>558</v>
      </c>
      <c r="P31" s="5">
        <f t="shared" si="31"/>
        <v>182</v>
      </c>
      <c r="Q31" s="5">
        <f t="shared" si="32"/>
        <v>689</v>
      </c>
      <c r="R31" s="10">
        <f t="shared" si="33"/>
        <v>3.7857142857142856</v>
      </c>
      <c r="U31">
        <f>1+6+18</f>
        <v>25</v>
      </c>
      <c r="V31">
        <f>3+37+153</f>
        <v>193</v>
      </c>
      <c r="W31">
        <v>325</v>
      </c>
      <c r="X31">
        <v>1146</v>
      </c>
      <c r="Y31">
        <v>44</v>
      </c>
      <c r="Z31">
        <v>333</v>
      </c>
      <c r="AA31" s="3">
        <f t="shared" si="34"/>
        <v>394</v>
      </c>
      <c r="AB31" s="3">
        <f t="shared" si="35"/>
        <v>1672</v>
      </c>
      <c r="AD31">
        <v>14</v>
      </c>
      <c r="AE31">
        <v>237</v>
      </c>
      <c r="AF31">
        <v>10</v>
      </c>
      <c r="AG31">
        <v>74</v>
      </c>
      <c r="AI31">
        <f>1+5+1</f>
        <v>7</v>
      </c>
      <c r="AJ31">
        <f>4+71+10</f>
        <v>85</v>
      </c>
      <c r="AK31">
        <v>17</v>
      </c>
      <c r="AL31">
        <v>192</v>
      </c>
      <c r="AM31" s="3">
        <f t="shared" si="36"/>
        <v>24</v>
      </c>
      <c r="AN31" s="3">
        <f t="shared" si="37"/>
        <v>277</v>
      </c>
      <c r="AP31" s="5">
        <f t="shared" si="38"/>
        <v>442</v>
      </c>
      <c r="AQ31" s="5">
        <f t="shared" si="39"/>
        <v>2260</v>
      </c>
      <c r="AR31" s="10">
        <f t="shared" si="40"/>
        <v>5.113122171945701</v>
      </c>
      <c r="AU31">
        <v>1</v>
      </c>
      <c r="AV31">
        <v>5</v>
      </c>
      <c r="AW31">
        <v>129</v>
      </c>
      <c r="AX31">
        <v>459</v>
      </c>
      <c r="AY31" s="3">
        <f t="shared" si="41"/>
        <v>130</v>
      </c>
      <c r="AZ31" s="3">
        <f t="shared" si="42"/>
        <v>464</v>
      </c>
      <c r="BB31">
        <v>1</v>
      </c>
      <c r="BC31">
        <v>105</v>
      </c>
      <c r="BD31">
        <v>1</v>
      </c>
      <c r="BE31">
        <v>14</v>
      </c>
      <c r="BF31" s="13">
        <f t="shared" si="43"/>
        <v>132</v>
      </c>
      <c r="BG31" s="13">
        <f t="shared" si="44"/>
        <v>583</v>
      </c>
      <c r="BH31" s="10">
        <f t="shared" si="45"/>
        <v>4.416666666666667</v>
      </c>
      <c r="BI31" s="10"/>
      <c r="BK31">
        <v>1</v>
      </c>
      <c r="BL31">
        <v>34</v>
      </c>
      <c r="BM31">
        <v>21</v>
      </c>
      <c r="BN31">
        <v>583</v>
      </c>
      <c r="BO31" s="14">
        <f t="shared" si="46"/>
        <v>22</v>
      </c>
      <c r="BP31" s="14">
        <f t="shared" si="47"/>
        <v>617</v>
      </c>
      <c r="BR31">
        <v>43</v>
      </c>
      <c r="BS31">
        <v>334</v>
      </c>
      <c r="BT31">
        <v>22</v>
      </c>
      <c r="BU31">
        <v>194</v>
      </c>
      <c r="BX31" s="14">
        <f t="shared" si="48"/>
        <v>65</v>
      </c>
      <c r="BY31" s="14">
        <f t="shared" si="49"/>
        <v>528</v>
      </c>
      <c r="CC31">
        <v>2</v>
      </c>
      <c r="CD31">
        <v>8</v>
      </c>
      <c r="CE31" s="13">
        <f t="shared" si="50"/>
        <v>89</v>
      </c>
      <c r="CF31" s="13">
        <f t="shared" si="51"/>
        <v>1153</v>
      </c>
      <c r="CG31" s="10">
        <f t="shared" si="52"/>
        <v>12.955056179775282</v>
      </c>
      <c r="CH31" s="10"/>
      <c r="CN31" s="14">
        <f t="shared" si="53"/>
        <v>0</v>
      </c>
      <c r="CO31" s="14">
        <f t="shared" si="54"/>
        <v>0</v>
      </c>
      <c r="CP31" s="12"/>
      <c r="CT31">
        <v>568</v>
      </c>
      <c r="CU31">
        <v>3495</v>
      </c>
      <c r="CX31">
        <v>35</v>
      </c>
      <c r="CY31">
        <v>454</v>
      </c>
      <c r="DJ31">
        <v>8</v>
      </c>
      <c r="DK31">
        <v>115</v>
      </c>
      <c r="DT31">
        <v>8</v>
      </c>
      <c r="DU31">
        <v>47</v>
      </c>
      <c r="DV31" s="3">
        <f t="shared" si="55"/>
        <v>619</v>
      </c>
      <c r="DW31" s="3">
        <f t="shared" si="56"/>
        <v>4111</v>
      </c>
      <c r="DY31">
        <v>2</v>
      </c>
      <c r="DZ31">
        <v>33</v>
      </c>
      <c r="EG31">
        <v>26</v>
      </c>
      <c r="EH31">
        <v>522</v>
      </c>
      <c r="EI31">
        <v>24</v>
      </c>
      <c r="EJ31">
        <v>99</v>
      </c>
      <c r="EK31" s="3">
        <f t="shared" si="57"/>
        <v>52</v>
      </c>
      <c r="EL31" s="3">
        <f t="shared" si="58"/>
        <v>654</v>
      </c>
      <c r="EM31" s="5">
        <f t="shared" si="59"/>
        <v>671</v>
      </c>
      <c r="EN31" s="5">
        <f t="shared" si="60"/>
        <v>4765</v>
      </c>
      <c r="EO31" s="10">
        <f t="shared" si="61"/>
        <v>7.1013412816691508</v>
      </c>
      <c r="EU31">
        <v>1</v>
      </c>
      <c r="EV31">
        <v>11</v>
      </c>
      <c r="EY31" s="3">
        <f t="shared" si="62"/>
        <v>1</v>
      </c>
      <c r="EZ31" s="3">
        <f t="shared" si="63"/>
        <v>11</v>
      </c>
      <c r="FD31">
        <v>36</v>
      </c>
      <c r="FE31">
        <v>224</v>
      </c>
      <c r="FF31">
        <v>205</v>
      </c>
      <c r="FG31">
        <v>584</v>
      </c>
      <c r="FH31" s="3">
        <f t="shared" si="64"/>
        <v>241</v>
      </c>
      <c r="FI31" s="3">
        <f t="shared" si="65"/>
        <v>808</v>
      </c>
      <c r="FO31">
        <v>7</v>
      </c>
      <c r="FP31">
        <v>68</v>
      </c>
      <c r="FQ31" s="3">
        <f t="shared" si="66"/>
        <v>7</v>
      </c>
      <c r="FR31" s="3">
        <f t="shared" si="67"/>
        <v>68</v>
      </c>
      <c r="FX31">
        <v>22</v>
      </c>
      <c r="FY31">
        <v>87</v>
      </c>
      <c r="FZ31">
        <v>4</v>
      </c>
      <c r="GA31">
        <v>40</v>
      </c>
      <c r="GB31" s="3">
        <f t="shared" si="68"/>
        <v>26</v>
      </c>
      <c r="GC31" s="3">
        <f t="shared" si="69"/>
        <v>127</v>
      </c>
      <c r="GE31">
        <v>3</v>
      </c>
      <c r="GF31">
        <v>31</v>
      </c>
      <c r="GI31">
        <v>2</v>
      </c>
      <c r="GJ31">
        <v>7</v>
      </c>
      <c r="GK31">
        <v>349</v>
      </c>
      <c r="GL31">
        <v>1792</v>
      </c>
      <c r="GM31">
        <v>490</v>
      </c>
      <c r="GN31">
        <v>2010</v>
      </c>
      <c r="GO31">
        <v>14</v>
      </c>
      <c r="GP31">
        <v>58</v>
      </c>
      <c r="GQ31">
        <v>30</v>
      </c>
      <c r="GR31">
        <v>92</v>
      </c>
      <c r="GS31" s="3">
        <f t="shared" si="70"/>
        <v>888</v>
      </c>
      <c r="GT31" s="3">
        <f t="shared" si="71"/>
        <v>3990</v>
      </c>
      <c r="GU31" s="5">
        <f t="shared" si="72"/>
        <v>1163</v>
      </c>
      <c r="GV31" s="5">
        <f t="shared" si="73"/>
        <v>5004</v>
      </c>
      <c r="GW31" s="10">
        <f t="shared" si="74"/>
        <v>4.3026655202063626</v>
      </c>
      <c r="HB31">
        <v>391</v>
      </c>
      <c r="HC31">
        <v>2887</v>
      </c>
      <c r="HF31">
        <v>187</v>
      </c>
      <c r="HG31">
        <v>1052</v>
      </c>
      <c r="HH31">
        <v>1234</v>
      </c>
      <c r="HI31">
        <v>3834</v>
      </c>
      <c r="HJ31">
        <v>55</v>
      </c>
      <c r="HK31">
        <v>261</v>
      </c>
      <c r="HL31">
        <v>34</v>
      </c>
      <c r="HM31">
        <v>187</v>
      </c>
      <c r="HP31" s="3">
        <f t="shared" si="75"/>
        <v>1901</v>
      </c>
      <c r="HQ31" s="3">
        <f t="shared" si="76"/>
        <v>8221</v>
      </c>
      <c r="HV31">
        <v>77</v>
      </c>
      <c r="HW31">
        <v>349</v>
      </c>
      <c r="HX31">
        <v>63</v>
      </c>
      <c r="HY31">
        <v>412</v>
      </c>
      <c r="HZ31">
        <v>11</v>
      </c>
      <c r="IA31">
        <v>18</v>
      </c>
      <c r="IB31">
        <v>1</v>
      </c>
      <c r="IC31">
        <v>11</v>
      </c>
      <c r="ID31" s="3">
        <f t="shared" si="77"/>
        <v>152</v>
      </c>
      <c r="IE31" s="3">
        <f t="shared" si="78"/>
        <v>790</v>
      </c>
      <c r="IF31" s="3"/>
      <c r="II31">
        <v>20</v>
      </c>
      <c r="IJ31">
        <v>121</v>
      </c>
      <c r="IK31" s="3">
        <f t="shared" si="79"/>
        <v>20</v>
      </c>
      <c r="IL31" s="3">
        <f t="shared" si="80"/>
        <v>121</v>
      </c>
      <c r="IR31">
        <v>1</v>
      </c>
      <c r="IS31">
        <v>9</v>
      </c>
      <c r="IT31">
        <v>2</v>
      </c>
      <c r="IU31">
        <v>21</v>
      </c>
      <c r="IV31">
        <v>233</v>
      </c>
      <c r="IW31">
        <v>1165</v>
      </c>
      <c r="IX31">
        <v>93</v>
      </c>
      <c r="IY31">
        <v>571</v>
      </c>
      <c r="IZ31">
        <v>6</v>
      </c>
      <c r="JA31">
        <v>33</v>
      </c>
      <c r="JB31">
        <v>24</v>
      </c>
      <c r="JC31">
        <v>101</v>
      </c>
      <c r="JF31" s="3">
        <f t="shared" si="81"/>
        <v>359</v>
      </c>
      <c r="JG31" s="3">
        <f t="shared" si="82"/>
        <v>1900</v>
      </c>
      <c r="JI31" s="5">
        <f t="shared" si="83"/>
        <v>2432</v>
      </c>
      <c r="JJ31" s="5">
        <f t="shared" si="84"/>
        <v>11032</v>
      </c>
      <c r="JK31" s="10">
        <f t="shared" si="85"/>
        <v>4.5361842105263159</v>
      </c>
      <c r="JT31">
        <v>125</v>
      </c>
      <c r="JU31">
        <v>286</v>
      </c>
      <c r="JV31">
        <v>113</v>
      </c>
      <c r="JW31">
        <v>320</v>
      </c>
      <c r="JX31">
        <v>2</v>
      </c>
      <c r="JY31">
        <v>36</v>
      </c>
      <c r="KB31">
        <v>14</v>
      </c>
      <c r="KC31">
        <v>82</v>
      </c>
      <c r="KF31" s="3">
        <f t="shared" si="86"/>
        <v>254</v>
      </c>
      <c r="KG31" s="3">
        <f t="shared" si="87"/>
        <v>724</v>
      </c>
      <c r="KJ31">
        <v>1</v>
      </c>
      <c r="KK31">
        <v>9</v>
      </c>
      <c r="KL31">
        <v>3</v>
      </c>
      <c r="KM31">
        <v>75</v>
      </c>
      <c r="KP31" s="3">
        <f t="shared" si="88"/>
        <v>4</v>
      </c>
      <c r="KQ31" s="3">
        <f t="shared" si="89"/>
        <v>84</v>
      </c>
      <c r="KS31" s="5">
        <f t="shared" si="90"/>
        <v>258</v>
      </c>
      <c r="KT31" s="5">
        <f t="shared" si="91"/>
        <v>808</v>
      </c>
      <c r="KU31" s="10">
        <f t="shared" si="92"/>
        <v>3.1317829457364339</v>
      </c>
      <c r="KW31" s="5">
        <f t="shared" si="93"/>
        <v>5369</v>
      </c>
      <c r="KX31" s="5">
        <f t="shared" si="94"/>
        <v>26294</v>
      </c>
      <c r="KY31" s="10">
        <f t="shared" si="95"/>
        <v>4.8973738126280502</v>
      </c>
      <c r="LA31" s="15" t="s">
        <v>312</v>
      </c>
      <c r="LB31">
        <v>368243</v>
      </c>
      <c r="LD31" s="11">
        <f t="shared" si="96"/>
        <v>14.580046328103997</v>
      </c>
      <c r="LE31" s="11">
        <f t="shared" si="97"/>
        <v>71.403937074160282</v>
      </c>
    </row>
    <row r="32" spans="1:319" ht="15.75" x14ac:dyDescent="0.25">
      <c r="A32" s="22" t="s">
        <v>387</v>
      </c>
      <c r="B32" s="24" t="s">
        <v>313</v>
      </c>
      <c r="C32" s="1"/>
      <c r="D32" s="1"/>
      <c r="E32">
        <f>2+34</f>
        <v>36</v>
      </c>
      <c r="F32">
        <f>32+99</f>
        <v>131</v>
      </c>
      <c r="G32">
        <f>18+1+1+5</f>
        <v>25</v>
      </c>
      <c r="H32">
        <f>168+13+20+16</f>
        <v>217</v>
      </c>
      <c r="L32">
        <v>301</v>
      </c>
      <c r="M32">
        <v>811</v>
      </c>
      <c r="N32" s="3">
        <f t="shared" si="29"/>
        <v>301</v>
      </c>
      <c r="O32" s="3">
        <f t="shared" si="30"/>
        <v>811</v>
      </c>
      <c r="P32" s="5">
        <f t="shared" si="31"/>
        <v>362</v>
      </c>
      <c r="Q32" s="5">
        <f t="shared" si="32"/>
        <v>1159</v>
      </c>
      <c r="R32" s="10">
        <f t="shared" si="33"/>
        <v>3.201657458563536</v>
      </c>
      <c r="U32">
        <f>2+7+1+35</f>
        <v>45</v>
      </c>
      <c r="V32">
        <f>29+42+2+143</f>
        <v>216</v>
      </c>
      <c r="W32">
        <v>461</v>
      </c>
      <c r="X32">
        <v>1502</v>
      </c>
      <c r="Y32">
        <v>103</v>
      </c>
      <c r="Z32">
        <v>668</v>
      </c>
      <c r="AA32" s="3">
        <f t="shared" si="34"/>
        <v>609</v>
      </c>
      <c r="AB32" s="3">
        <f t="shared" si="35"/>
        <v>2386</v>
      </c>
      <c r="AD32">
        <f>15+1</f>
        <v>16</v>
      </c>
      <c r="AE32">
        <f>238+28</f>
        <v>266</v>
      </c>
      <c r="AF32">
        <v>16</v>
      </c>
      <c r="AG32">
        <v>221</v>
      </c>
      <c r="AI32">
        <f>4+1</f>
        <v>5</v>
      </c>
      <c r="AJ32">
        <f>51+16</f>
        <v>67</v>
      </c>
      <c r="AK32">
        <v>28</v>
      </c>
      <c r="AL32">
        <v>257</v>
      </c>
      <c r="AM32" s="3">
        <f t="shared" si="36"/>
        <v>33</v>
      </c>
      <c r="AN32" s="3">
        <f t="shared" si="37"/>
        <v>324</v>
      </c>
      <c r="AP32" s="5">
        <f t="shared" si="38"/>
        <v>674</v>
      </c>
      <c r="AQ32" s="5">
        <f t="shared" si="39"/>
        <v>3197</v>
      </c>
      <c r="AR32" s="10">
        <f t="shared" si="40"/>
        <v>4.7433234421364983</v>
      </c>
      <c r="AU32">
        <f>1+3</f>
        <v>4</v>
      </c>
      <c r="AV32">
        <f>34+3</f>
        <v>37</v>
      </c>
      <c r="AW32">
        <v>44</v>
      </c>
      <c r="AX32">
        <v>171</v>
      </c>
      <c r="AY32" s="3">
        <f t="shared" si="41"/>
        <v>48</v>
      </c>
      <c r="AZ32" s="3">
        <f t="shared" si="42"/>
        <v>208</v>
      </c>
      <c r="BD32">
        <f>2+1</f>
        <v>3</v>
      </c>
      <c r="BE32">
        <f>45+4</f>
        <v>49</v>
      </c>
      <c r="BF32" s="13">
        <f t="shared" si="43"/>
        <v>51</v>
      </c>
      <c r="BG32" s="13">
        <f t="shared" si="44"/>
        <v>257</v>
      </c>
      <c r="BH32" s="10">
        <f t="shared" si="45"/>
        <v>5.0392156862745097</v>
      </c>
      <c r="BI32" s="10"/>
      <c r="BM32">
        <v>31</v>
      </c>
      <c r="BN32">
        <v>922</v>
      </c>
      <c r="BO32" s="14">
        <f t="shared" si="46"/>
        <v>31</v>
      </c>
      <c r="BP32" s="14">
        <f t="shared" si="47"/>
        <v>922</v>
      </c>
      <c r="BR32">
        <v>1</v>
      </c>
      <c r="BS32">
        <v>32</v>
      </c>
      <c r="BT32">
        <v>25</v>
      </c>
      <c r="BU32">
        <v>418</v>
      </c>
      <c r="BX32" s="14">
        <f t="shared" si="48"/>
        <v>26</v>
      </c>
      <c r="BY32" s="14">
        <f t="shared" si="49"/>
        <v>450</v>
      </c>
      <c r="CC32">
        <f>1+3</f>
        <v>4</v>
      </c>
      <c r="CD32">
        <f>3+56</f>
        <v>59</v>
      </c>
      <c r="CE32" s="13">
        <f t="shared" si="50"/>
        <v>61</v>
      </c>
      <c r="CF32" s="13">
        <f t="shared" si="51"/>
        <v>1431</v>
      </c>
      <c r="CG32" s="10">
        <f t="shared" si="52"/>
        <v>23.459016393442624</v>
      </c>
      <c r="CH32" s="10"/>
      <c r="CL32">
        <v>45</v>
      </c>
      <c r="CM32">
        <v>522</v>
      </c>
      <c r="CN32" s="14">
        <f t="shared" si="53"/>
        <v>45</v>
      </c>
      <c r="CO32" s="14">
        <f t="shared" si="54"/>
        <v>522</v>
      </c>
      <c r="CP32" s="12"/>
      <c r="CT32">
        <v>637</v>
      </c>
      <c r="CU32">
        <v>4858</v>
      </c>
      <c r="CV32">
        <v>8</v>
      </c>
      <c r="CW32">
        <v>1649</v>
      </c>
      <c r="CX32">
        <v>52</v>
      </c>
      <c r="CY32">
        <v>704</v>
      </c>
      <c r="DJ32">
        <v>10</v>
      </c>
      <c r="DK32">
        <v>178</v>
      </c>
      <c r="DT32">
        <v>22</v>
      </c>
      <c r="DU32">
        <v>217</v>
      </c>
      <c r="DV32" s="3">
        <f t="shared" si="55"/>
        <v>729</v>
      </c>
      <c r="DW32" s="3">
        <f t="shared" si="56"/>
        <v>7606</v>
      </c>
      <c r="DY32">
        <v>2</v>
      </c>
      <c r="DZ32">
        <v>5</v>
      </c>
      <c r="EE32">
        <v>15</v>
      </c>
      <c r="EF32">
        <v>3000</v>
      </c>
      <c r="EG32">
        <v>15</v>
      </c>
      <c r="EH32">
        <v>84</v>
      </c>
      <c r="EI32">
        <v>2</v>
      </c>
      <c r="EJ32">
        <v>37</v>
      </c>
      <c r="EK32" s="3">
        <f t="shared" si="57"/>
        <v>34</v>
      </c>
      <c r="EL32" s="3">
        <f t="shared" si="58"/>
        <v>3126</v>
      </c>
      <c r="EM32" s="5">
        <f t="shared" si="59"/>
        <v>808</v>
      </c>
      <c r="EN32" s="5">
        <f t="shared" si="60"/>
        <v>11254</v>
      </c>
      <c r="EO32" s="10">
        <f t="shared" si="61"/>
        <v>13.928217821782178</v>
      </c>
      <c r="EU32">
        <v>2</v>
      </c>
      <c r="EV32">
        <v>11</v>
      </c>
      <c r="EW32">
        <v>1</v>
      </c>
      <c r="EX32">
        <v>3</v>
      </c>
      <c r="EY32" s="3">
        <f t="shared" si="62"/>
        <v>3</v>
      </c>
      <c r="EZ32" s="3">
        <f t="shared" si="63"/>
        <v>14</v>
      </c>
      <c r="FD32">
        <v>71</v>
      </c>
      <c r="FE32">
        <v>267</v>
      </c>
      <c r="FF32">
        <v>118</v>
      </c>
      <c r="FG32">
        <v>258</v>
      </c>
      <c r="FH32" s="3">
        <f t="shared" si="64"/>
        <v>189</v>
      </c>
      <c r="FI32" s="3">
        <f t="shared" si="65"/>
        <v>525</v>
      </c>
      <c r="FO32">
        <v>36</v>
      </c>
      <c r="FP32">
        <v>125</v>
      </c>
      <c r="FQ32" s="3">
        <f t="shared" si="66"/>
        <v>36</v>
      </c>
      <c r="FR32" s="3">
        <f t="shared" si="67"/>
        <v>125</v>
      </c>
      <c r="FV32">
        <v>1</v>
      </c>
      <c r="FW32">
        <v>13</v>
      </c>
      <c r="FX32">
        <v>19</v>
      </c>
      <c r="FY32">
        <v>260</v>
      </c>
      <c r="FZ32">
        <v>8</v>
      </c>
      <c r="GA32">
        <v>137</v>
      </c>
      <c r="GB32" s="3">
        <f t="shared" si="68"/>
        <v>28</v>
      </c>
      <c r="GC32" s="3">
        <f t="shared" si="69"/>
        <v>410</v>
      </c>
      <c r="GE32">
        <f>2+3</f>
        <v>5</v>
      </c>
      <c r="GF32">
        <f>5+6</f>
        <v>11</v>
      </c>
      <c r="GG32">
        <v>1</v>
      </c>
      <c r="GH32">
        <v>3</v>
      </c>
      <c r="GK32">
        <v>437</v>
      </c>
      <c r="GL32">
        <v>2186</v>
      </c>
      <c r="GM32">
        <v>171</v>
      </c>
      <c r="GN32">
        <v>372</v>
      </c>
      <c r="GO32">
        <v>7</v>
      </c>
      <c r="GP32">
        <v>146</v>
      </c>
      <c r="GQ32">
        <v>3</v>
      </c>
      <c r="GR32">
        <v>27</v>
      </c>
      <c r="GS32" s="3">
        <f t="shared" si="70"/>
        <v>624</v>
      </c>
      <c r="GT32" s="3">
        <f t="shared" si="71"/>
        <v>2745</v>
      </c>
      <c r="GU32" s="5">
        <f t="shared" si="72"/>
        <v>880</v>
      </c>
      <c r="GV32" s="5">
        <f t="shared" si="73"/>
        <v>3819</v>
      </c>
      <c r="GW32" s="10">
        <f t="shared" si="74"/>
        <v>4.3397727272727273</v>
      </c>
      <c r="GZ32">
        <f>1+33</f>
        <v>34</v>
      </c>
      <c r="HA32">
        <f>276+51</f>
        <v>327</v>
      </c>
      <c r="HB32">
        <v>168</v>
      </c>
      <c r="HC32">
        <v>915</v>
      </c>
      <c r="HF32">
        <v>204</v>
      </c>
      <c r="HG32">
        <v>1196</v>
      </c>
      <c r="HH32">
        <v>132</v>
      </c>
      <c r="HI32">
        <v>2786</v>
      </c>
      <c r="HJ32">
        <v>45</v>
      </c>
      <c r="HK32">
        <v>276</v>
      </c>
      <c r="HL32">
        <v>26</v>
      </c>
      <c r="HM32">
        <v>173</v>
      </c>
      <c r="HN32">
        <v>4</v>
      </c>
      <c r="HO32">
        <v>50</v>
      </c>
      <c r="HP32" s="3">
        <f t="shared" si="75"/>
        <v>613</v>
      </c>
      <c r="HQ32" s="3">
        <f t="shared" si="76"/>
        <v>5723</v>
      </c>
      <c r="HV32">
        <v>255</v>
      </c>
      <c r="HW32">
        <v>862</v>
      </c>
      <c r="HX32">
        <v>65</v>
      </c>
      <c r="HY32">
        <v>569</v>
      </c>
      <c r="HZ32">
        <v>8</v>
      </c>
      <c r="IA32">
        <v>156</v>
      </c>
      <c r="IB32">
        <v>3</v>
      </c>
      <c r="IC32">
        <v>50</v>
      </c>
      <c r="ID32" s="3">
        <f t="shared" si="77"/>
        <v>331</v>
      </c>
      <c r="IE32" s="3">
        <f t="shared" si="78"/>
        <v>1637</v>
      </c>
      <c r="IF32" s="3"/>
      <c r="II32">
        <v>16</v>
      </c>
      <c r="IJ32">
        <v>169</v>
      </c>
      <c r="IK32" s="3">
        <f t="shared" si="79"/>
        <v>16</v>
      </c>
      <c r="IL32" s="3">
        <f t="shared" si="80"/>
        <v>169</v>
      </c>
      <c r="IR32">
        <f>2+1+1</f>
        <v>4</v>
      </c>
      <c r="IS32">
        <f>19+2+3</f>
        <v>24</v>
      </c>
      <c r="IT32">
        <v>1</v>
      </c>
      <c r="IU32">
        <v>13</v>
      </c>
      <c r="IV32">
        <v>282</v>
      </c>
      <c r="IW32">
        <v>1683</v>
      </c>
      <c r="IX32">
        <v>132</v>
      </c>
      <c r="IY32">
        <v>886</v>
      </c>
      <c r="IZ32">
        <v>29</v>
      </c>
      <c r="JA32">
        <v>221</v>
      </c>
      <c r="JB32">
        <v>14</v>
      </c>
      <c r="JC32">
        <v>49</v>
      </c>
      <c r="JD32">
        <v>3</v>
      </c>
      <c r="JE32">
        <v>7</v>
      </c>
      <c r="JF32" s="3">
        <f t="shared" si="81"/>
        <v>465</v>
      </c>
      <c r="JG32" s="3">
        <f t="shared" si="82"/>
        <v>2883</v>
      </c>
      <c r="JI32" s="5">
        <f t="shared" si="83"/>
        <v>1425</v>
      </c>
      <c r="JJ32" s="5">
        <f t="shared" si="84"/>
        <v>10412</v>
      </c>
      <c r="JK32" s="10">
        <f t="shared" si="85"/>
        <v>7.3066666666666666</v>
      </c>
      <c r="JT32">
        <v>80</v>
      </c>
      <c r="JU32">
        <v>479</v>
      </c>
      <c r="JV32">
        <v>64</v>
      </c>
      <c r="JW32">
        <v>628</v>
      </c>
      <c r="JZ32">
        <v>1</v>
      </c>
      <c r="KA32">
        <v>3</v>
      </c>
      <c r="KB32">
        <v>33</v>
      </c>
      <c r="KC32">
        <v>125</v>
      </c>
      <c r="KF32" s="3">
        <f t="shared" si="86"/>
        <v>178</v>
      </c>
      <c r="KG32" s="3">
        <f t="shared" si="87"/>
        <v>1235</v>
      </c>
      <c r="KJ32">
        <f>1+1</f>
        <v>2</v>
      </c>
      <c r="KK32">
        <f>3+3</f>
        <v>6</v>
      </c>
      <c r="KL32">
        <v>13</v>
      </c>
      <c r="KM32">
        <v>128</v>
      </c>
      <c r="KN32">
        <v>3</v>
      </c>
      <c r="KO32">
        <v>27</v>
      </c>
      <c r="KP32" s="3">
        <f t="shared" si="88"/>
        <v>18</v>
      </c>
      <c r="KQ32" s="3">
        <f t="shared" si="89"/>
        <v>161</v>
      </c>
      <c r="KS32" s="5">
        <f t="shared" si="90"/>
        <v>196</v>
      </c>
      <c r="KT32" s="5">
        <f t="shared" si="91"/>
        <v>1396</v>
      </c>
      <c r="KU32" s="10">
        <f t="shared" si="92"/>
        <v>7.1224489795918364</v>
      </c>
      <c r="KW32" s="5">
        <f t="shared" si="93"/>
        <v>4457</v>
      </c>
      <c r="KX32" s="5">
        <f t="shared" si="94"/>
        <v>32925</v>
      </c>
      <c r="KY32" s="10">
        <f t="shared" si="95"/>
        <v>7.3872560017949294</v>
      </c>
      <c r="LA32" s="15" t="s">
        <v>313</v>
      </c>
      <c r="LB32">
        <v>604912</v>
      </c>
      <c r="LD32" s="11">
        <f t="shared" si="96"/>
        <v>7.3680138598672205</v>
      </c>
      <c r="LE32" s="11">
        <f t="shared" si="97"/>
        <v>54.429404607612348</v>
      </c>
      <c r="LG32" s="10"/>
    </row>
    <row r="33" spans="1:319" ht="15.75" x14ac:dyDescent="0.25">
      <c r="A33" s="22" t="s">
        <v>388</v>
      </c>
      <c r="B33" s="24" t="s">
        <v>314</v>
      </c>
      <c r="C33" s="1"/>
      <c r="D33" s="1"/>
      <c r="E33">
        <v>2</v>
      </c>
      <c r="F33">
        <v>97</v>
      </c>
      <c r="G33">
        <f>36+2+2+4</f>
        <v>44</v>
      </c>
      <c r="H33">
        <f>173+19+16+22</f>
        <v>230</v>
      </c>
      <c r="J33">
        <v>1</v>
      </c>
      <c r="K33">
        <v>55</v>
      </c>
      <c r="L33">
        <v>278</v>
      </c>
      <c r="M33">
        <v>1105</v>
      </c>
      <c r="N33" s="3">
        <f t="shared" si="29"/>
        <v>279</v>
      </c>
      <c r="O33" s="3">
        <f t="shared" si="30"/>
        <v>1160</v>
      </c>
      <c r="P33" s="5">
        <f t="shared" si="31"/>
        <v>325</v>
      </c>
      <c r="Q33" s="5">
        <f t="shared" si="32"/>
        <v>1487</v>
      </c>
      <c r="R33" s="10">
        <f t="shared" si="33"/>
        <v>4.5753846153846158</v>
      </c>
      <c r="U33">
        <f>6+2+1+1+36+2+5</f>
        <v>53</v>
      </c>
      <c r="V33">
        <f>41+38+12+6+130+27+31</f>
        <v>285</v>
      </c>
      <c r="W33">
        <f>698+1+1+2</f>
        <v>702</v>
      </c>
      <c r="X33">
        <f>3054+20+19+28</f>
        <v>3121</v>
      </c>
      <c r="Y33">
        <v>149</v>
      </c>
      <c r="Z33">
        <v>975</v>
      </c>
      <c r="AA33" s="3">
        <f t="shared" si="34"/>
        <v>904</v>
      </c>
      <c r="AB33" s="3">
        <f t="shared" si="35"/>
        <v>4381</v>
      </c>
      <c r="AD33">
        <f>9+1</f>
        <v>10</v>
      </c>
      <c r="AE33">
        <f>152+15</f>
        <v>167</v>
      </c>
      <c r="AF33">
        <v>12</v>
      </c>
      <c r="AG33">
        <v>186</v>
      </c>
      <c r="AI33">
        <f>1+3+8+1</f>
        <v>13</v>
      </c>
      <c r="AJ33">
        <f>17+82+74+7</f>
        <v>180</v>
      </c>
      <c r="AK33">
        <v>25</v>
      </c>
      <c r="AL33">
        <v>263</v>
      </c>
      <c r="AM33" s="3">
        <f t="shared" si="36"/>
        <v>38</v>
      </c>
      <c r="AN33" s="3">
        <f t="shared" si="37"/>
        <v>443</v>
      </c>
      <c r="AP33" s="5">
        <f t="shared" si="38"/>
        <v>964</v>
      </c>
      <c r="AQ33" s="5">
        <f t="shared" si="39"/>
        <v>5177</v>
      </c>
      <c r="AR33" s="10">
        <f t="shared" si="40"/>
        <v>5.3703319502074685</v>
      </c>
      <c r="AU33">
        <f>31+1</f>
        <v>32</v>
      </c>
      <c r="AV33">
        <f>928+3</f>
        <v>931</v>
      </c>
      <c r="AW33">
        <v>170</v>
      </c>
      <c r="AX33">
        <v>801</v>
      </c>
      <c r="AY33" s="3">
        <f t="shared" si="41"/>
        <v>202</v>
      </c>
      <c r="AZ33" s="3">
        <f t="shared" si="42"/>
        <v>1732</v>
      </c>
      <c r="BB33">
        <v>1</v>
      </c>
      <c r="BC33">
        <v>3</v>
      </c>
      <c r="BD33">
        <f>19+3</f>
        <v>22</v>
      </c>
      <c r="BE33">
        <f>801+50</f>
        <v>851</v>
      </c>
      <c r="BF33" s="13">
        <f t="shared" si="43"/>
        <v>225</v>
      </c>
      <c r="BG33" s="13">
        <f t="shared" si="44"/>
        <v>2586</v>
      </c>
      <c r="BH33" s="10">
        <f t="shared" si="45"/>
        <v>11.493333333333334</v>
      </c>
      <c r="BI33" s="10"/>
      <c r="BK33">
        <f>2+4</f>
        <v>6</v>
      </c>
      <c r="BL33">
        <f>92+84</f>
        <v>176</v>
      </c>
      <c r="BM33">
        <v>28</v>
      </c>
      <c r="BN33">
        <v>711</v>
      </c>
      <c r="BO33" s="14">
        <f t="shared" si="46"/>
        <v>34</v>
      </c>
      <c r="BP33" s="14">
        <f t="shared" si="47"/>
        <v>887</v>
      </c>
      <c r="BR33">
        <v>1</v>
      </c>
      <c r="BS33">
        <v>13</v>
      </c>
      <c r="BT33">
        <v>34</v>
      </c>
      <c r="BU33">
        <v>459</v>
      </c>
      <c r="BX33" s="14">
        <f t="shared" si="48"/>
        <v>35</v>
      </c>
      <c r="BY33" s="14">
        <f t="shared" si="49"/>
        <v>472</v>
      </c>
      <c r="CC33">
        <f>2+5+6</f>
        <v>13</v>
      </c>
      <c r="CD33">
        <f>19+90+68</f>
        <v>177</v>
      </c>
      <c r="CE33" s="13">
        <f t="shared" si="50"/>
        <v>82</v>
      </c>
      <c r="CF33" s="13">
        <f t="shared" si="51"/>
        <v>1536</v>
      </c>
      <c r="CG33" s="10">
        <f t="shared" si="52"/>
        <v>18.73170731707317</v>
      </c>
      <c r="CH33" s="10"/>
      <c r="CJ33">
        <v>4</v>
      </c>
      <c r="CK33">
        <v>38</v>
      </c>
      <c r="CL33">
        <v>38</v>
      </c>
      <c r="CM33">
        <v>439</v>
      </c>
      <c r="CN33" s="14">
        <f t="shared" si="53"/>
        <v>42</v>
      </c>
      <c r="CO33" s="14">
        <f t="shared" si="54"/>
        <v>477</v>
      </c>
      <c r="CP33" s="12"/>
      <c r="CT33">
        <v>428</v>
      </c>
      <c r="CU33">
        <v>9487</v>
      </c>
      <c r="CX33">
        <f>226+7</f>
        <v>233</v>
      </c>
      <c r="CY33">
        <f>2762+62</f>
        <v>2824</v>
      </c>
      <c r="DB33">
        <v>6</v>
      </c>
      <c r="DC33">
        <v>4384</v>
      </c>
      <c r="DJ33">
        <v>10</v>
      </c>
      <c r="DK33">
        <v>167</v>
      </c>
      <c r="DR33">
        <v>2</v>
      </c>
      <c r="DS33">
        <v>55</v>
      </c>
      <c r="DT33">
        <v>46</v>
      </c>
      <c r="DU33">
        <v>557</v>
      </c>
      <c r="DV33" s="3">
        <f t="shared" si="55"/>
        <v>725</v>
      </c>
      <c r="DW33" s="3">
        <f t="shared" si="56"/>
        <v>17474</v>
      </c>
      <c r="DY33">
        <v>22</v>
      </c>
      <c r="DZ33">
        <v>975</v>
      </c>
      <c r="EG33">
        <v>14</v>
      </c>
      <c r="EH33">
        <v>516</v>
      </c>
      <c r="EI33">
        <v>4</v>
      </c>
      <c r="EJ33">
        <v>79</v>
      </c>
      <c r="EK33" s="3">
        <f t="shared" si="57"/>
        <v>40</v>
      </c>
      <c r="EL33" s="3">
        <f t="shared" si="58"/>
        <v>1570</v>
      </c>
      <c r="EM33" s="5">
        <f t="shared" si="59"/>
        <v>807</v>
      </c>
      <c r="EN33" s="5">
        <f t="shared" si="60"/>
        <v>19521</v>
      </c>
      <c r="EO33" s="10">
        <f t="shared" si="61"/>
        <v>24.189591078066915</v>
      </c>
      <c r="EU33">
        <v>7</v>
      </c>
      <c r="EV33">
        <v>48</v>
      </c>
      <c r="EW33">
        <v>18</v>
      </c>
      <c r="EX33">
        <v>188</v>
      </c>
      <c r="EY33" s="3">
        <f t="shared" si="62"/>
        <v>25</v>
      </c>
      <c r="EZ33" s="3">
        <f t="shared" si="63"/>
        <v>236</v>
      </c>
      <c r="FD33">
        <v>43</v>
      </c>
      <c r="FE33">
        <v>299</v>
      </c>
      <c r="FF33">
        <v>564</v>
      </c>
      <c r="FG33">
        <v>1032</v>
      </c>
      <c r="FH33" s="3">
        <f t="shared" si="64"/>
        <v>607</v>
      </c>
      <c r="FI33" s="3">
        <f t="shared" si="65"/>
        <v>1331</v>
      </c>
      <c r="FK33">
        <f>10+15</f>
        <v>25</v>
      </c>
      <c r="FL33">
        <f>75+180</f>
        <v>255</v>
      </c>
      <c r="FO33">
        <v>41</v>
      </c>
      <c r="FP33">
        <v>384</v>
      </c>
      <c r="FQ33" s="3">
        <f t="shared" si="66"/>
        <v>66</v>
      </c>
      <c r="FR33" s="3">
        <f t="shared" si="67"/>
        <v>639</v>
      </c>
      <c r="FV33">
        <v>3</v>
      </c>
      <c r="FW33">
        <v>32</v>
      </c>
      <c r="FX33">
        <v>46</v>
      </c>
      <c r="FY33">
        <v>317</v>
      </c>
      <c r="FZ33">
        <v>11</v>
      </c>
      <c r="GA33">
        <v>137</v>
      </c>
      <c r="GB33" s="3">
        <f t="shared" si="68"/>
        <v>60</v>
      </c>
      <c r="GC33" s="3">
        <f t="shared" si="69"/>
        <v>486</v>
      </c>
      <c r="GE33">
        <f>7+42+4+1</f>
        <v>54</v>
      </c>
      <c r="GF33">
        <f>63+64+48+4</f>
        <v>179</v>
      </c>
      <c r="GG33">
        <v>3</v>
      </c>
      <c r="GH33">
        <v>37</v>
      </c>
      <c r="GI33">
        <v>41</v>
      </c>
      <c r="GJ33">
        <v>60</v>
      </c>
      <c r="GK33">
        <v>923</v>
      </c>
      <c r="GL33">
        <v>3744</v>
      </c>
      <c r="GO33">
        <v>25</v>
      </c>
      <c r="GP33">
        <v>216</v>
      </c>
      <c r="GQ33">
        <v>8</v>
      </c>
      <c r="GR33">
        <v>57</v>
      </c>
      <c r="GS33" s="3">
        <f t="shared" si="70"/>
        <v>1054</v>
      </c>
      <c r="GT33" s="3">
        <f t="shared" si="71"/>
        <v>4293</v>
      </c>
      <c r="GU33" s="5">
        <f t="shared" si="72"/>
        <v>1812</v>
      </c>
      <c r="GV33" s="5">
        <f t="shared" si="73"/>
        <v>6985</v>
      </c>
      <c r="GW33" s="10">
        <f t="shared" si="74"/>
        <v>3.8548565121412803</v>
      </c>
      <c r="HB33">
        <v>54</v>
      </c>
      <c r="HC33">
        <v>889</v>
      </c>
      <c r="HD33">
        <v>20</v>
      </c>
      <c r="HE33">
        <v>157</v>
      </c>
      <c r="HF33">
        <v>870</v>
      </c>
      <c r="HG33">
        <v>3169</v>
      </c>
      <c r="HH33">
        <v>692</v>
      </c>
      <c r="HI33">
        <v>2748</v>
      </c>
      <c r="HJ33">
        <v>34</v>
      </c>
      <c r="HK33">
        <v>237</v>
      </c>
      <c r="HL33">
        <v>79</v>
      </c>
      <c r="HM33">
        <v>410</v>
      </c>
      <c r="HN33">
        <v>14</v>
      </c>
      <c r="HO33">
        <v>158</v>
      </c>
      <c r="HP33" s="3">
        <f t="shared" si="75"/>
        <v>1763</v>
      </c>
      <c r="HQ33" s="3">
        <f t="shared" si="76"/>
        <v>7768</v>
      </c>
      <c r="HV33">
        <v>57</v>
      </c>
      <c r="HW33">
        <v>350</v>
      </c>
      <c r="HX33">
        <v>73</v>
      </c>
      <c r="HY33">
        <v>637</v>
      </c>
      <c r="HZ33">
        <v>10</v>
      </c>
      <c r="IA33">
        <v>177</v>
      </c>
      <c r="IB33">
        <v>4</v>
      </c>
      <c r="IC33">
        <v>66</v>
      </c>
      <c r="ID33" s="3">
        <f t="shared" si="77"/>
        <v>144</v>
      </c>
      <c r="IE33" s="3">
        <f t="shared" si="78"/>
        <v>1230</v>
      </c>
      <c r="IF33" s="3"/>
      <c r="II33">
        <v>28</v>
      </c>
      <c r="IJ33">
        <v>214</v>
      </c>
      <c r="IK33" s="3">
        <f t="shared" si="79"/>
        <v>28</v>
      </c>
      <c r="IL33" s="3">
        <f t="shared" si="80"/>
        <v>214</v>
      </c>
      <c r="IN33">
        <f>1+10</f>
        <v>11</v>
      </c>
      <c r="IO33">
        <f>17+70</f>
        <v>87</v>
      </c>
      <c r="IR33">
        <f>5+3</f>
        <v>8</v>
      </c>
      <c r="IS33">
        <f>31+54</f>
        <v>85</v>
      </c>
      <c r="IT33">
        <v>7</v>
      </c>
      <c r="IU33">
        <v>45</v>
      </c>
      <c r="IV33">
        <v>514</v>
      </c>
      <c r="IW33">
        <v>2377</v>
      </c>
      <c r="IX33">
        <v>229</v>
      </c>
      <c r="IY33">
        <v>1370</v>
      </c>
      <c r="IZ33">
        <v>50</v>
      </c>
      <c r="JA33">
        <v>267</v>
      </c>
      <c r="JB33">
        <v>22</v>
      </c>
      <c r="JC33">
        <v>141</v>
      </c>
      <c r="JD33">
        <v>8</v>
      </c>
      <c r="JE33">
        <v>69</v>
      </c>
      <c r="JF33" s="3">
        <f t="shared" si="81"/>
        <v>838</v>
      </c>
      <c r="JG33" s="3">
        <f t="shared" si="82"/>
        <v>4354</v>
      </c>
      <c r="JI33" s="5">
        <f t="shared" si="83"/>
        <v>2784</v>
      </c>
      <c r="JJ33" s="5">
        <f t="shared" si="84"/>
        <v>13653</v>
      </c>
      <c r="JK33" s="10">
        <f t="shared" si="85"/>
        <v>4.9040948275862073</v>
      </c>
      <c r="JN33">
        <f>1+1</f>
        <v>2</v>
      </c>
      <c r="JO33">
        <f>18+6</f>
        <v>24</v>
      </c>
      <c r="JR33">
        <v>12</v>
      </c>
      <c r="JS33">
        <v>379</v>
      </c>
      <c r="JT33">
        <v>60</v>
      </c>
      <c r="JU33">
        <v>636</v>
      </c>
      <c r="JV33">
        <v>67</v>
      </c>
      <c r="JW33">
        <v>911</v>
      </c>
      <c r="JX33">
        <v>15</v>
      </c>
      <c r="JY33">
        <v>136</v>
      </c>
      <c r="JZ33">
        <v>4</v>
      </c>
      <c r="KA33">
        <v>27</v>
      </c>
      <c r="KB33">
        <v>14</v>
      </c>
      <c r="KC33">
        <v>96</v>
      </c>
      <c r="KD33">
        <v>18</v>
      </c>
      <c r="KE33">
        <v>174</v>
      </c>
      <c r="KF33" s="3">
        <f t="shared" si="86"/>
        <v>192</v>
      </c>
      <c r="KG33" s="3">
        <f t="shared" si="87"/>
        <v>2383</v>
      </c>
      <c r="KJ33">
        <f>3+1+1+1</f>
        <v>6</v>
      </c>
      <c r="KK33">
        <f>26+16+2+2</f>
        <v>46</v>
      </c>
      <c r="KL33">
        <v>4</v>
      </c>
      <c r="KM33">
        <v>210</v>
      </c>
      <c r="KP33" s="3">
        <f t="shared" si="88"/>
        <v>10</v>
      </c>
      <c r="KQ33" s="3">
        <f t="shared" si="89"/>
        <v>256</v>
      </c>
      <c r="KS33" s="5">
        <f t="shared" si="90"/>
        <v>202</v>
      </c>
      <c r="KT33" s="5">
        <f t="shared" si="91"/>
        <v>2639</v>
      </c>
      <c r="KU33" s="10">
        <f t="shared" si="92"/>
        <v>13.064356435643564</v>
      </c>
      <c r="KW33" s="5">
        <f t="shared" si="93"/>
        <v>7201</v>
      </c>
      <c r="KX33" s="5">
        <f t="shared" si="94"/>
        <v>53584</v>
      </c>
      <c r="KY33" s="10">
        <f t="shared" si="95"/>
        <v>7.4411887237883629</v>
      </c>
      <c r="LA33" s="15" t="s">
        <v>315</v>
      </c>
      <c r="LB33">
        <v>502952</v>
      </c>
      <c r="LD33" s="11">
        <f t="shared" si="96"/>
        <v>14.317469659132483</v>
      </c>
      <c r="LE33" s="11">
        <f t="shared" si="97"/>
        <v>106.53899378071864</v>
      </c>
    </row>
    <row r="34" spans="1:319" ht="15.75" x14ac:dyDescent="0.25">
      <c r="A34" s="22" t="s">
        <v>389</v>
      </c>
      <c r="B34" s="24" t="s">
        <v>316</v>
      </c>
      <c r="C34" s="1"/>
      <c r="D34" s="1"/>
      <c r="E34">
        <v>2</v>
      </c>
      <c r="F34">
        <v>125</v>
      </c>
      <c r="G34">
        <f>20+3+1</f>
        <v>24</v>
      </c>
      <c r="H34">
        <f>187+24+20</f>
        <v>231</v>
      </c>
      <c r="L34">
        <v>213</v>
      </c>
      <c r="M34">
        <v>1008</v>
      </c>
      <c r="N34" s="3">
        <f t="shared" si="29"/>
        <v>213</v>
      </c>
      <c r="O34" s="3">
        <f t="shared" si="30"/>
        <v>1008</v>
      </c>
      <c r="P34" s="5">
        <f t="shared" si="31"/>
        <v>239</v>
      </c>
      <c r="Q34" s="5">
        <f t="shared" si="32"/>
        <v>1364</v>
      </c>
      <c r="R34" s="10">
        <f t="shared" si="33"/>
        <v>5.7071129707112966</v>
      </c>
      <c r="U34">
        <f>1+4+7+21+3</f>
        <v>36</v>
      </c>
      <c r="V34">
        <f>13+27+54+151+12</f>
        <v>257</v>
      </c>
      <c r="W34">
        <f>135+4+8+278</f>
        <v>425</v>
      </c>
      <c r="X34">
        <f>936+32+81+941</f>
        <v>1990</v>
      </c>
      <c r="Y34">
        <v>66</v>
      </c>
      <c r="Z34">
        <v>557</v>
      </c>
      <c r="AA34" s="3">
        <f t="shared" si="34"/>
        <v>527</v>
      </c>
      <c r="AB34" s="3">
        <f t="shared" si="35"/>
        <v>2804</v>
      </c>
      <c r="AD34">
        <f>10+3</f>
        <v>13</v>
      </c>
      <c r="AE34">
        <f>153+30</f>
        <v>183</v>
      </c>
      <c r="AF34">
        <v>12</v>
      </c>
      <c r="AG34">
        <v>232</v>
      </c>
      <c r="AI34">
        <f>4+3+4</f>
        <v>11</v>
      </c>
      <c r="AJ34">
        <f>28+41+28</f>
        <v>97</v>
      </c>
      <c r="AK34">
        <v>25</v>
      </c>
      <c r="AL34">
        <v>296</v>
      </c>
      <c r="AM34" s="3">
        <f t="shared" si="36"/>
        <v>36</v>
      </c>
      <c r="AN34" s="3">
        <f t="shared" si="37"/>
        <v>393</v>
      </c>
      <c r="AP34" s="5">
        <f t="shared" si="38"/>
        <v>588</v>
      </c>
      <c r="AQ34" s="5">
        <f t="shared" si="39"/>
        <v>3612</v>
      </c>
      <c r="AR34" s="10">
        <f t="shared" si="40"/>
        <v>6.1428571428571432</v>
      </c>
      <c r="AU34">
        <f>28+3+2+1+5</f>
        <v>39</v>
      </c>
      <c r="AV34">
        <f>463+31+50+42+16</f>
        <v>602</v>
      </c>
      <c r="AW34">
        <v>247</v>
      </c>
      <c r="AX34">
        <v>844</v>
      </c>
      <c r="AY34" s="3">
        <f t="shared" si="41"/>
        <v>286</v>
      </c>
      <c r="AZ34" s="3">
        <f t="shared" si="42"/>
        <v>1446</v>
      </c>
      <c r="BD34">
        <f>2+20+28</f>
        <v>50</v>
      </c>
      <c r="BE34">
        <f>28+366+87</f>
        <v>481</v>
      </c>
      <c r="BF34" s="13">
        <f t="shared" si="43"/>
        <v>336</v>
      </c>
      <c r="BG34" s="13">
        <f t="shared" si="44"/>
        <v>1927</v>
      </c>
      <c r="BH34" s="10">
        <f t="shared" si="45"/>
        <v>5.7351190476190474</v>
      </c>
      <c r="BI34" s="10"/>
      <c r="BK34">
        <v>6</v>
      </c>
      <c r="BL34">
        <v>159</v>
      </c>
      <c r="BM34">
        <v>20</v>
      </c>
      <c r="BN34">
        <v>536</v>
      </c>
      <c r="BO34" s="14">
        <f t="shared" si="46"/>
        <v>26</v>
      </c>
      <c r="BP34" s="14">
        <f t="shared" si="47"/>
        <v>695</v>
      </c>
      <c r="BR34">
        <v>3</v>
      </c>
      <c r="BS34">
        <v>201</v>
      </c>
      <c r="BT34">
        <v>23</v>
      </c>
      <c r="BU34">
        <v>332</v>
      </c>
      <c r="BX34" s="14">
        <f t="shared" si="48"/>
        <v>26</v>
      </c>
      <c r="BY34" s="14">
        <f t="shared" si="49"/>
        <v>533</v>
      </c>
      <c r="CC34">
        <f>1+2+1</f>
        <v>4</v>
      </c>
      <c r="CD34">
        <f>13+33+2</f>
        <v>48</v>
      </c>
      <c r="CE34" s="13">
        <f t="shared" si="50"/>
        <v>56</v>
      </c>
      <c r="CF34" s="13">
        <f t="shared" si="51"/>
        <v>1276</v>
      </c>
      <c r="CG34" s="10">
        <f t="shared" si="52"/>
        <v>22.785714285714285</v>
      </c>
      <c r="CH34" s="10"/>
      <c r="CJ34">
        <f>34+6</f>
        <v>40</v>
      </c>
      <c r="CK34">
        <f>199+30</f>
        <v>229</v>
      </c>
      <c r="CL34">
        <v>31</v>
      </c>
      <c r="CM34">
        <v>483</v>
      </c>
      <c r="CN34" s="14">
        <f t="shared" si="53"/>
        <v>71</v>
      </c>
      <c r="CO34" s="14">
        <f t="shared" si="54"/>
        <v>712</v>
      </c>
      <c r="CP34" s="12"/>
      <c r="CT34">
        <v>483</v>
      </c>
      <c r="CU34">
        <v>8182</v>
      </c>
      <c r="CX34">
        <v>152</v>
      </c>
      <c r="CY34">
        <v>2345</v>
      </c>
      <c r="CZ34">
        <v>1</v>
      </c>
      <c r="DA34">
        <v>21</v>
      </c>
      <c r="DB34">
        <v>3</v>
      </c>
      <c r="DC34">
        <v>9082</v>
      </c>
      <c r="DJ34">
        <v>8</v>
      </c>
      <c r="DK34">
        <v>129</v>
      </c>
      <c r="DT34">
        <v>25</v>
      </c>
      <c r="DU34">
        <v>299</v>
      </c>
      <c r="DV34" s="3">
        <f t="shared" si="55"/>
        <v>672</v>
      </c>
      <c r="DW34" s="3">
        <f t="shared" si="56"/>
        <v>20058</v>
      </c>
      <c r="DY34">
        <v>8</v>
      </c>
      <c r="DZ34">
        <v>949</v>
      </c>
      <c r="EG34">
        <v>5</v>
      </c>
      <c r="EH34">
        <v>213</v>
      </c>
      <c r="EI34">
        <v>8</v>
      </c>
      <c r="EJ34">
        <v>159</v>
      </c>
      <c r="EK34" s="3">
        <f t="shared" si="57"/>
        <v>21</v>
      </c>
      <c r="EL34" s="3">
        <f t="shared" si="58"/>
        <v>1321</v>
      </c>
      <c r="EM34" s="5">
        <f t="shared" si="59"/>
        <v>764</v>
      </c>
      <c r="EN34" s="5">
        <f t="shared" si="60"/>
        <v>22091</v>
      </c>
      <c r="EO34" s="10">
        <f t="shared" si="61"/>
        <v>28.914921465968586</v>
      </c>
      <c r="EU34">
        <v>3</v>
      </c>
      <c r="EV34">
        <v>31</v>
      </c>
      <c r="EW34">
        <v>289</v>
      </c>
      <c r="EX34">
        <v>2182</v>
      </c>
      <c r="EY34" s="3">
        <f t="shared" si="62"/>
        <v>292</v>
      </c>
      <c r="EZ34" s="3">
        <f t="shared" si="63"/>
        <v>2213</v>
      </c>
      <c r="FD34">
        <v>42</v>
      </c>
      <c r="FE34">
        <v>359</v>
      </c>
      <c r="FF34">
        <v>733</v>
      </c>
      <c r="FG34">
        <v>1961</v>
      </c>
      <c r="FH34" s="3">
        <f t="shared" si="64"/>
        <v>775</v>
      </c>
      <c r="FI34" s="3">
        <f t="shared" si="65"/>
        <v>2320</v>
      </c>
      <c r="FK34">
        <v>1</v>
      </c>
      <c r="FL34">
        <v>6</v>
      </c>
      <c r="FO34">
        <v>28</v>
      </c>
      <c r="FP34">
        <v>384</v>
      </c>
      <c r="FQ34" s="3">
        <f t="shared" si="66"/>
        <v>29</v>
      </c>
      <c r="FR34" s="3">
        <f t="shared" si="67"/>
        <v>390</v>
      </c>
      <c r="FT34">
        <v>18</v>
      </c>
      <c r="FU34">
        <v>91</v>
      </c>
      <c r="FV34">
        <v>21</v>
      </c>
      <c r="FW34">
        <v>109</v>
      </c>
      <c r="FX34">
        <v>14</v>
      </c>
      <c r="FY34">
        <v>91</v>
      </c>
      <c r="FZ34">
        <v>5</v>
      </c>
      <c r="GA34">
        <v>70</v>
      </c>
      <c r="GB34" s="3">
        <f t="shared" si="68"/>
        <v>58</v>
      </c>
      <c r="GC34" s="3">
        <f t="shared" si="69"/>
        <v>361</v>
      </c>
      <c r="GE34">
        <f>9+17+1+1</f>
        <v>28</v>
      </c>
      <c r="GF34">
        <f>199+36+9+7</f>
        <v>251</v>
      </c>
      <c r="GG34">
        <v>1</v>
      </c>
      <c r="GH34">
        <v>6</v>
      </c>
      <c r="GK34">
        <v>473</v>
      </c>
      <c r="GL34">
        <v>2284</v>
      </c>
      <c r="GO34">
        <v>26</v>
      </c>
      <c r="GP34">
        <v>226</v>
      </c>
      <c r="GQ34">
        <v>4</v>
      </c>
      <c r="GR34">
        <v>31</v>
      </c>
      <c r="GS34" s="3">
        <f t="shared" si="70"/>
        <v>532</v>
      </c>
      <c r="GT34" s="3">
        <f t="shared" si="71"/>
        <v>2798</v>
      </c>
      <c r="GU34" s="5">
        <f t="shared" si="72"/>
        <v>1686</v>
      </c>
      <c r="GV34" s="5">
        <f t="shared" si="73"/>
        <v>8082</v>
      </c>
      <c r="GW34" s="10">
        <f t="shared" si="74"/>
        <v>4.7935943060498225</v>
      </c>
      <c r="HB34">
        <v>38</v>
      </c>
      <c r="HC34">
        <v>736</v>
      </c>
      <c r="HD34">
        <v>13</v>
      </c>
      <c r="HE34">
        <v>119</v>
      </c>
      <c r="HF34">
        <v>437</v>
      </c>
      <c r="HG34">
        <v>2133</v>
      </c>
      <c r="HH34">
        <v>578</v>
      </c>
      <c r="HI34">
        <v>2620</v>
      </c>
      <c r="HJ34">
        <v>45</v>
      </c>
      <c r="HK34">
        <v>387</v>
      </c>
      <c r="HL34">
        <v>28</v>
      </c>
      <c r="HM34">
        <v>218</v>
      </c>
      <c r="HN34">
        <v>15</v>
      </c>
      <c r="HO34">
        <v>145</v>
      </c>
      <c r="HP34" s="3">
        <f t="shared" si="75"/>
        <v>1154</v>
      </c>
      <c r="HQ34" s="3">
        <f t="shared" si="76"/>
        <v>6358</v>
      </c>
      <c r="HT34">
        <v>1</v>
      </c>
      <c r="HU34">
        <v>17</v>
      </c>
      <c r="HV34">
        <v>112</v>
      </c>
      <c r="HW34">
        <v>927</v>
      </c>
      <c r="HX34">
        <v>55</v>
      </c>
      <c r="HY34">
        <v>494</v>
      </c>
      <c r="HZ34">
        <v>8</v>
      </c>
      <c r="IA34">
        <v>44</v>
      </c>
      <c r="IB34">
        <v>5</v>
      </c>
      <c r="IC34">
        <v>39</v>
      </c>
      <c r="ID34" s="3">
        <f t="shared" si="77"/>
        <v>181</v>
      </c>
      <c r="IE34" s="3">
        <f t="shared" si="78"/>
        <v>1521</v>
      </c>
      <c r="IF34" s="3"/>
      <c r="II34">
        <v>19</v>
      </c>
      <c r="IJ34">
        <v>165</v>
      </c>
      <c r="IK34" s="3">
        <f t="shared" si="79"/>
        <v>19</v>
      </c>
      <c r="IL34" s="3">
        <f t="shared" si="80"/>
        <v>165</v>
      </c>
      <c r="IR34">
        <f>28+4</f>
        <v>32</v>
      </c>
      <c r="IS34">
        <f>44+29</f>
        <v>73</v>
      </c>
      <c r="IT34">
        <v>8</v>
      </c>
      <c r="IU34">
        <v>226</v>
      </c>
      <c r="IV34">
        <v>295</v>
      </c>
      <c r="IW34">
        <v>1692</v>
      </c>
      <c r="IX34">
        <v>139</v>
      </c>
      <c r="IY34">
        <v>859</v>
      </c>
      <c r="IZ34">
        <v>26</v>
      </c>
      <c r="JA34">
        <v>195</v>
      </c>
      <c r="JB34">
        <v>19</v>
      </c>
      <c r="JC34">
        <v>104</v>
      </c>
      <c r="JD34">
        <v>10</v>
      </c>
      <c r="JE34">
        <v>31</v>
      </c>
      <c r="JF34" s="3">
        <f t="shared" si="81"/>
        <v>529</v>
      </c>
      <c r="JG34" s="3">
        <f t="shared" si="82"/>
        <v>3180</v>
      </c>
      <c r="JI34" s="5">
        <f t="shared" si="83"/>
        <v>1883</v>
      </c>
      <c r="JJ34" s="5">
        <f t="shared" si="84"/>
        <v>11224</v>
      </c>
      <c r="JK34" s="10">
        <f t="shared" si="85"/>
        <v>5.9607010090281465</v>
      </c>
      <c r="JN34">
        <v>2</v>
      </c>
      <c r="JO34">
        <v>11</v>
      </c>
      <c r="JR34">
        <v>9</v>
      </c>
      <c r="JS34">
        <v>290</v>
      </c>
      <c r="JT34">
        <v>64</v>
      </c>
      <c r="JU34">
        <v>608</v>
      </c>
      <c r="JV34">
        <v>44</v>
      </c>
      <c r="JW34">
        <v>473</v>
      </c>
      <c r="JX34">
        <v>14</v>
      </c>
      <c r="JY34">
        <v>135</v>
      </c>
      <c r="JZ34">
        <v>13</v>
      </c>
      <c r="KA34">
        <v>68</v>
      </c>
      <c r="KB34">
        <v>27</v>
      </c>
      <c r="KC34">
        <v>217</v>
      </c>
      <c r="KD34">
        <v>4</v>
      </c>
      <c r="KE34">
        <v>41</v>
      </c>
      <c r="KF34" s="3">
        <f t="shared" si="86"/>
        <v>177</v>
      </c>
      <c r="KG34" s="3">
        <f t="shared" si="87"/>
        <v>1843</v>
      </c>
      <c r="KJ34">
        <f>1+2+1+3</f>
        <v>7</v>
      </c>
      <c r="KK34">
        <f>37+25+2+15</f>
        <v>79</v>
      </c>
      <c r="KL34">
        <v>4</v>
      </c>
      <c r="KM34">
        <v>155</v>
      </c>
      <c r="KN34">
        <v>1</v>
      </c>
      <c r="KO34">
        <v>21</v>
      </c>
      <c r="KP34" s="3">
        <f t="shared" si="88"/>
        <v>12</v>
      </c>
      <c r="KQ34" s="3">
        <f t="shared" si="89"/>
        <v>255</v>
      </c>
      <c r="KS34" s="5">
        <f t="shared" si="90"/>
        <v>189</v>
      </c>
      <c r="KT34" s="5">
        <f t="shared" si="91"/>
        <v>2098</v>
      </c>
      <c r="KU34" s="10">
        <f t="shared" si="92"/>
        <v>11.100529100529101</v>
      </c>
      <c r="KW34" s="5">
        <f t="shared" si="93"/>
        <v>5741</v>
      </c>
      <c r="KX34" s="5">
        <f t="shared" si="94"/>
        <v>51674</v>
      </c>
      <c r="KY34" s="10">
        <f t="shared" si="95"/>
        <v>9.0008709284096842</v>
      </c>
      <c r="LA34" s="15" t="s">
        <v>317</v>
      </c>
      <c r="LB34">
        <v>355795</v>
      </c>
      <c r="LD34" s="11">
        <f t="shared" si="96"/>
        <v>16.135696117146111</v>
      </c>
      <c r="LE34" s="11">
        <f t="shared" si="97"/>
        <v>145.23531809047344</v>
      </c>
    </row>
    <row r="35" spans="1:319" ht="15.75" x14ac:dyDescent="0.25">
      <c r="A35" s="22" t="s">
        <v>390</v>
      </c>
      <c r="B35" s="24" t="s">
        <v>318</v>
      </c>
      <c r="C35" s="1"/>
      <c r="D35" s="1"/>
      <c r="E35">
        <v>2</v>
      </c>
      <c r="F35">
        <v>39</v>
      </c>
      <c r="G35">
        <f>19+1</f>
        <v>20</v>
      </c>
      <c r="H35">
        <f>82+2</f>
        <v>84</v>
      </c>
      <c r="L35">
        <v>205</v>
      </c>
      <c r="M35">
        <v>585</v>
      </c>
      <c r="N35" s="3">
        <f t="shared" si="29"/>
        <v>205</v>
      </c>
      <c r="O35" s="3">
        <f t="shared" si="30"/>
        <v>585</v>
      </c>
      <c r="P35" s="5">
        <f t="shared" si="31"/>
        <v>227</v>
      </c>
      <c r="Q35" s="5">
        <f t="shared" si="32"/>
        <v>708</v>
      </c>
      <c r="R35" s="10">
        <f t="shared" si="33"/>
        <v>3.1189427312775329</v>
      </c>
      <c r="U35">
        <f>1+5+18+1</f>
        <v>25</v>
      </c>
      <c r="V35">
        <f>7+42+78+2</f>
        <v>129</v>
      </c>
      <c r="W35">
        <f>525+3</f>
        <v>528</v>
      </c>
      <c r="X35">
        <f>1476+14</f>
        <v>1490</v>
      </c>
      <c r="Y35">
        <v>140</v>
      </c>
      <c r="Z35">
        <v>512</v>
      </c>
      <c r="AA35" s="3">
        <f t="shared" si="34"/>
        <v>693</v>
      </c>
      <c r="AB35" s="3">
        <f t="shared" si="35"/>
        <v>2131</v>
      </c>
      <c r="AD35">
        <v>11</v>
      </c>
      <c r="AE35">
        <v>68</v>
      </c>
      <c r="AF35">
        <v>4</v>
      </c>
      <c r="AG35">
        <v>41</v>
      </c>
      <c r="AI35">
        <f>1+1+1</f>
        <v>3</v>
      </c>
      <c r="AJ35">
        <f>2+7+2</f>
        <v>11</v>
      </c>
      <c r="AK35">
        <v>24</v>
      </c>
      <c r="AL35">
        <v>129</v>
      </c>
      <c r="AM35" s="3">
        <f t="shared" si="36"/>
        <v>27</v>
      </c>
      <c r="AN35" s="3">
        <f t="shared" si="37"/>
        <v>140</v>
      </c>
      <c r="AP35" s="5">
        <f t="shared" si="38"/>
        <v>735</v>
      </c>
      <c r="AQ35" s="5">
        <f t="shared" si="39"/>
        <v>2380</v>
      </c>
      <c r="AR35" s="10">
        <f t="shared" si="40"/>
        <v>3.2380952380952381</v>
      </c>
      <c r="AU35">
        <f>12+2</f>
        <v>14</v>
      </c>
      <c r="AV35">
        <f>180+5</f>
        <v>185</v>
      </c>
      <c r="AW35">
        <v>218</v>
      </c>
      <c r="AX35">
        <v>420</v>
      </c>
      <c r="AY35" s="3">
        <f t="shared" si="41"/>
        <v>232</v>
      </c>
      <c r="AZ35" s="3">
        <f t="shared" si="42"/>
        <v>605</v>
      </c>
      <c r="BB35">
        <v>2</v>
      </c>
      <c r="BC35">
        <v>132</v>
      </c>
      <c r="BD35">
        <f>2+6</f>
        <v>8</v>
      </c>
      <c r="BE35">
        <f>51+13</f>
        <v>64</v>
      </c>
      <c r="BF35" s="13">
        <f t="shared" si="43"/>
        <v>242</v>
      </c>
      <c r="BG35" s="13">
        <f t="shared" si="44"/>
        <v>801</v>
      </c>
      <c r="BH35" s="10">
        <f t="shared" si="45"/>
        <v>3.3099173553719008</v>
      </c>
      <c r="BI35" s="10"/>
      <c r="BM35">
        <v>29</v>
      </c>
      <c r="BN35">
        <v>447</v>
      </c>
      <c r="BO35" s="14">
        <f t="shared" si="46"/>
        <v>29</v>
      </c>
      <c r="BP35" s="14">
        <f t="shared" si="47"/>
        <v>447</v>
      </c>
      <c r="BR35">
        <v>9</v>
      </c>
      <c r="BS35">
        <v>74</v>
      </c>
      <c r="BT35">
        <v>16</v>
      </c>
      <c r="BU35">
        <v>215</v>
      </c>
      <c r="BX35" s="14">
        <f t="shared" si="48"/>
        <v>25</v>
      </c>
      <c r="BY35" s="14">
        <f t="shared" si="49"/>
        <v>289</v>
      </c>
      <c r="CC35">
        <v>5</v>
      </c>
      <c r="CD35">
        <v>35</v>
      </c>
      <c r="CE35" s="13">
        <f t="shared" si="50"/>
        <v>59</v>
      </c>
      <c r="CF35" s="13">
        <f t="shared" si="51"/>
        <v>771</v>
      </c>
      <c r="CG35" s="10">
        <f t="shared" si="52"/>
        <v>13.067796610169491</v>
      </c>
      <c r="CH35" s="10"/>
      <c r="CJ35">
        <v>1</v>
      </c>
      <c r="CK35">
        <v>3</v>
      </c>
      <c r="CL35">
        <v>17</v>
      </c>
      <c r="CM35">
        <v>120</v>
      </c>
      <c r="CN35" s="14">
        <f t="shared" si="53"/>
        <v>18</v>
      </c>
      <c r="CO35" s="14">
        <f t="shared" si="54"/>
        <v>123</v>
      </c>
      <c r="CP35" s="12"/>
      <c r="CT35">
        <v>667</v>
      </c>
      <c r="CU35">
        <v>10527</v>
      </c>
      <c r="CV35">
        <v>2</v>
      </c>
      <c r="CW35">
        <v>251</v>
      </c>
      <c r="CX35">
        <f>78+12</f>
        <v>90</v>
      </c>
      <c r="CY35">
        <f>549+61</f>
        <v>610</v>
      </c>
      <c r="DJ35">
        <v>4</v>
      </c>
      <c r="DK35">
        <v>70</v>
      </c>
      <c r="DT35">
        <v>32</v>
      </c>
      <c r="DU35">
        <v>246</v>
      </c>
      <c r="DV35" s="3">
        <f t="shared" si="55"/>
        <v>795</v>
      </c>
      <c r="DW35" s="3">
        <f t="shared" si="56"/>
        <v>11704</v>
      </c>
      <c r="DY35">
        <v>13</v>
      </c>
      <c r="DZ35">
        <v>461</v>
      </c>
      <c r="EG35">
        <v>9</v>
      </c>
      <c r="EH35">
        <v>190</v>
      </c>
      <c r="EI35">
        <v>1</v>
      </c>
      <c r="EJ35">
        <v>10</v>
      </c>
      <c r="EK35" s="3">
        <f t="shared" si="57"/>
        <v>23</v>
      </c>
      <c r="EL35" s="3">
        <f t="shared" si="58"/>
        <v>661</v>
      </c>
      <c r="EM35" s="5">
        <f t="shared" si="59"/>
        <v>836</v>
      </c>
      <c r="EN35" s="5">
        <f t="shared" si="60"/>
        <v>12488</v>
      </c>
      <c r="EO35" s="10">
        <f t="shared" si="61"/>
        <v>14.937799043062201</v>
      </c>
      <c r="EY35" s="3">
        <f t="shared" si="62"/>
        <v>0</v>
      </c>
      <c r="EZ35" s="3">
        <f t="shared" si="63"/>
        <v>0</v>
      </c>
      <c r="FB35">
        <v>1</v>
      </c>
      <c r="FC35">
        <v>6</v>
      </c>
      <c r="FD35">
        <v>45</v>
      </c>
      <c r="FE35">
        <v>233</v>
      </c>
      <c r="FF35">
        <v>494</v>
      </c>
      <c r="FG35">
        <v>878</v>
      </c>
      <c r="FH35" s="3">
        <f t="shared" si="64"/>
        <v>540</v>
      </c>
      <c r="FI35" s="3">
        <f t="shared" si="65"/>
        <v>1117</v>
      </c>
      <c r="FK35">
        <v>1</v>
      </c>
      <c r="FL35">
        <v>3</v>
      </c>
      <c r="FO35">
        <v>22</v>
      </c>
      <c r="FP35">
        <v>316</v>
      </c>
      <c r="FQ35" s="3">
        <f t="shared" si="66"/>
        <v>23</v>
      </c>
      <c r="FR35" s="3">
        <f t="shared" si="67"/>
        <v>319</v>
      </c>
      <c r="FV35">
        <v>3</v>
      </c>
      <c r="FW35">
        <v>4</v>
      </c>
      <c r="FX35">
        <v>14</v>
      </c>
      <c r="FY35">
        <v>49</v>
      </c>
      <c r="FZ35">
        <v>2</v>
      </c>
      <c r="GA35">
        <v>21</v>
      </c>
      <c r="GB35" s="3">
        <f t="shared" si="68"/>
        <v>19</v>
      </c>
      <c r="GC35" s="3">
        <f t="shared" si="69"/>
        <v>74</v>
      </c>
      <c r="GE35">
        <f>2+5+5</f>
        <v>12</v>
      </c>
      <c r="GF35">
        <f>14+16+16</f>
        <v>46</v>
      </c>
      <c r="GG35">
        <v>2</v>
      </c>
      <c r="GH35">
        <v>6</v>
      </c>
      <c r="GI35">
        <v>7</v>
      </c>
      <c r="GJ35">
        <v>13</v>
      </c>
      <c r="GK35">
        <v>805</v>
      </c>
      <c r="GL35">
        <v>2812</v>
      </c>
      <c r="GO35">
        <v>12</v>
      </c>
      <c r="GP35">
        <v>120</v>
      </c>
      <c r="GQ35">
        <v>2</v>
      </c>
      <c r="GR35">
        <v>5</v>
      </c>
      <c r="GS35" s="3">
        <f t="shared" si="70"/>
        <v>840</v>
      </c>
      <c r="GT35" s="3">
        <f t="shared" si="71"/>
        <v>3002</v>
      </c>
      <c r="GU35" s="5">
        <f t="shared" si="72"/>
        <v>1422</v>
      </c>
      <c r="GV35" s="5">
        <f t="shared" si="73"/>
        <v>4512</v>
      </c>
      <c r="GW35" s="10">
        <f t="shared" si="74"/>
        <v>3.1729957805907172</v>
      </c>
      <c r="HB35">
        <v>14</v>
      </c>
      <c r="HC35">
        <v>150</v>
      </c>
      <c r="HD35">
        <v>7</v>
      </c>
      <c r="HE35">
        <v>88</v>
      </c>
      <c r="HF35">
        <v>313</v>
      </c>
      <c r="HG35">
        <v>1034</v>
      </c>
      <c r="HH35">
        <v>753</v>
      </c>
      <c r="HI35">
        <v>2616</v>
      </c>
      <c r="HJ35">
        <v>20</v>
      </c>
      <c r="HK35">
        <v>117</v>
      </c>
      <c r="HL35">
        <v>13</v>
      </c>
      <c r="HM35">
        <v>97</v>
      </c>
      <c r="HN35">
        <v>1</v>
      </c>
      <c r="HO35">
        <v>2</v>
      </c>
      <c r="HP35" s="3">
        <f t="shared" si="75"/>
        <v>1121</v>
      </c>
      <c r="HQ35" s="3">
        <f t="shared" si="76"/>
        <v>4104</v>
      </c>
      <c r="HV35">
        <v>137</v>
      </c>
      <c r="HW35">
        <v>609</v>
      </c>
      <c r="HX35">
        <v>64</v>
      </c>
      <c r="HY35">
        <v>302</v>
      </c>
      <c r="HZ35">
        <v>5</v>
      </c>
      <c r="IA35">
        <v>23</v>
      </c>
      <c r="IB35">
        <v>1</v>
      </c>
      <c r="IC35">
        <v>2</v>
      </c>
      <c r="ID35" s="3">
        <f t="shared" si="77"/>
        <v>207</v>
      </c>
      <c r="IE35" s="3">
        <f t="shared" si="78"/>
        <v>936</v>
      </c>
      <c r="IF35" s="3"/>
      <c r="II35">
        <v>9</v>
      </c>
      <c r="IJ35">
        <v>43</v>
      </c>
      <c r="IK35" s="3">
        <f t="shared" si="79"/>
        <v>9</v>
      </c>
      <c r="IL35" s="3">
        <f t="shared" si="80"/>
        <v>43</v>
      </c>
      <c r="IV35">
        <v>271</v>
      </c>
      <c r="IW35">
        <v>752</v>
      </c>
      <c r="IX35">
        <v>147</v>
      </c>
      <c r="IY35">
        <v>377</v>
      </c>
      <c r="IZ35">
        <v>16</v>
      </c>
      <c r="JA35">
        <v>76</v>
      </c>
      <c r="JB35">
        <v>8</v>
      </c>
      <c r="JC35">
        <v>31</v>
      </c>
      <c r="JD35">
        <v>4</v>
      </c>
      <c r="JE35">
        <v>8</v>
      </c>
      <c r="JF35" s="3">
        <f t="shared" si="81"/>
        <v>446</v>
      </c>
      <c r="JG35" s="3">
        <f t="shared" si="82"/>
        <v>1244</v>
      </c>
      <c r="JI35" s="5">
        <f t="shared" si="83"/>
        <v>1783</v>
      </c>
      <c r="JJ35" s="5">
        <f t="shared" si="84"/>
        <v>6327</v>
      </c>
      <c r="JK35" s="10">
        <f t="shared" si="85"/>
        <v>3.5485137408861469</v>
      </c>
      <c r="JP35">
        <v>1</v>
      </c>
      <c r="JQ35">
        <v>42</v>
      </c>
      <c r="JR35">
        <v>12</v>
      </c>
      <c r="JS35">
        <v>290</v>
      </c>
      <c r="JT35">
        <v>79</v>
      </c>
      <c r="JU35">
        <v>268</v>
      </c>
      <c r="JV35">
        <v>28</v>
      </c>
      <c r="JW35">
        <v>389</v>
      </c>
      <c r="JX35">
        <v>37</v>
      </c>
      <c r="JY35">
        <v>125</v>
      </c>
      <c r="KB35">
        <v>3</v>
      </c>
      <c r="KC35">
        <v>15</v>
      </c>
      <c r="KD35">
        <v>2</v>
      </c>
      <c r="KE35">
        <v>11</v>
      </c>
      <c r="KF35" s="3">
        <f t="shared" si="86"/>
        <v>162</v>
      </c>
      <c r="KG35" s="3">
        <f t="shared" si="87"/>
        <v>1140</v>
      </c>
      <c r="KJ35">
        <f>1+6</f>
        <v>7</v>
      </c>
      <c r="KK35">
        <f>9+55</f>
        <v>64</v>
      </c>
      <c r="KL35">
        <v>3</v>
      </c>
      <c r="KM35">
        <v>52</v>
      </c>
      <c r="KN35">
        <v>1</v>
      </c>
      <c r="KO35">
        <v>2</v>
      </c>
      <c r="KP35" s="3">
        <f t="shared" si="88"/>
        <v>11</v>
      </c>
      <c r="KQ35" s="3">
        <f t="shared" si="89"/>
        <v>118</v>
      </c>
      <c r="KS35" s="5">
        <f t="shared" si="90"/>
        <v>173</v>
      </c>
      <c r="KT35" s="5">
        <f t="shared" si="91"/>
        <v>1258</v>
      </c>
      <c r="KU35" s="10">
        <f t="shared" si="92"/>
        <v>7.2716763005780347</v>
      </c>
      <c r="KW35" s="5">
        <f t="shared" si="93"/>
        <v>5477</v>
      </c>
      <c r="KX35" s="5">
        <f t="shared" si="94"/>
        <v>29245</v>
      </c>
      <c r="KY35" s="10">
        <f t="shared" si="95"/>
        <v>5.3396019718824173</v>
      </c>
      <c r="LA35" s="15" t="s">
        <v>319</v>
      </c>
      <c r="LB35">
        <v>477311</v>
      </c>
      <c r="LD35" s="11">
        <f t="shared" si="96"/>
        <v>11.474698886051232</v>
      </c>
      <c r="LE35" s="11">
        <f t="shared" si="97"/>
        <v>61.270324798716146</v>
      </c>
    </row>
    <row r="36" spans="1:319" ht="15.75" x14ac:dyDescent="0.25">
      <c r="A36" s="22" t="s">
        <v>391</v>
      </c>
      <c r="B36" s="24" t="s">
        <v>320</v>
      </c>
      <c r="C36" s="1"/>
      <c r="D36" s="1"/>
      <c r="E36">
        <f>3+1</f>
        <v>4</v>
      </c>
      <c r="F36">
        <f>98+42</f>
        <v>140</v>
      </c>
      <c r="G36">
        <f>19+1+4</f>
        <v>24</v>
      </c>
      <c r="H36">
        <f>240+27+46</f>
        <v>313</v>
      </c>
      <c r="L36">
        <v>284</v>
      </c>
      <c r="M36">
        <v>1172</v>
      </c>
      <c r="N36" s="3">
        <f t="shared" si="29"/>
        <v>284</v>
      </c>
      <c r="O36" s="3">
        <f t="shared" si="30"/>
        <v>1172</v>
      </c>
      <c r="P36" s="5">
        <f t="shared" si="31"/>
        <v>312</v>
      </c>
      <c r="Q36" s="5">
        <f t="shared" si="32"/>
        <v>1625</v>
      </c>
      <c r="R36" s="10">
        <f t="shared" si="33"/>
        <v>5.208333333333333</v>
      </c>
      <c r="U36">
        <f>4+1+1+27+1</f>
        <v>34</v>
      </c>
      <c r="V36">
        <f>50+84+17+137+21</f>
        <v>309</v>
      </c>
      <c r="W36">
        <f>637+8+4</f>
        <v>649</v>
      </c>
      <c r="X36">
        <f>2819+37+44</f>
        <v>2900</v>
      </c>
      <c r="Y36">
        <v>167</v>
      </c>
      <c r="Z36">
        <v>795</v>
      </c>
      <c r="AA36" s="3">
        <f t="shared" si="34"/>
        <v>850</v>
      </c>
      <c r="AB36" s="3">
        <f t="shared" si="35"/>
        <v>4004</v>
      </c>
      <c r="AD36">
        <v>14</v>
      </c>
      <c r="AE36">
        <v>188</v>
      </c>
      <c r="AF36">
        <v>15</v>
      </c>
      <c r="AG36">
        <v>257</v>
      </c>
      <c r="AI36">
        <f>6+1</f>
        <v>7</v>
      </c>
      <c r="AJ36">
        <f>69+44</f>
        <v>113</v>
      </c>
      <c r="AK36">
        <v>41</v>
      </c>
      <c r="AL36">
        <v>306</v>
      </c>
      <c r="AM36" s="3">
        <f t="shared" si="36"/>
        <v>48</v>
      </c>
      <c r="AN36" s="3">
        <f t="shared" si="37"/>
        <v>419</v>
      </c>
      <c r="AP36" s="5">
        <f t="shared" si="38"/>
        <v>927</v>
      </c>
      <c r="AQ36" s="5">
        <f t="shared" si="39"/>
        <v>4868</v>
      </c>
      <c r="AR36" s="10">
        <f t="shared" si="40"/>
        <v>5.2513484358144549</v>
      </c>
      <c r="AU36">
        <f>1+1</f>
        <v>2</v>
      </c>
      <c r="AV36">
        <f>14+28</f>
        <v>42</v>
      </c>
      <c r="AW36">
        <v>214</v>
      </c>
      <c r="AX36">
        <v>918</v>
      </c>
      <c r="AY36" s="3">
        <f t="shared" si="41"/>
        <v>216</v>
      </c>
      <c r="AZ36" s="3">
        <f t="shared" si="42"/>
        <v>960</v>
      </c>
      <c r="BB36">
        <v>1</v>
      </c>
      <c r="BC36">
        <v>3</v>
      </c>
      <c r="BD36">
        <f>9+14</f>
        <v>23</v>
      </c>
      <c r="BE36">
        <f>193+267</f>
        <v>460</v>
      </c>
      <c r="BF36" s="13">
        <f t="shared" si="43"/>
        <v>240</v>
      </c>
      <c r="BG36" s="13">
        <f t="shared" si="44"/>
        <v>1423</v>
      </c>
      <c r="BH36" s="10">
        <f t="shared" si="45"/>
        <v>5.9291666666666663</v>
      </c>
      <c r="BI36" s="10"/>
      <c r="BK36">
        <f>16+1</f>
        <v>17</v>
      </c>
      <c r="BL36">
        <f>19+2</f>
        <v>21</v>
      </c>
      <c r="BM36">
        <v>22</v>
      </c>
      <c r="BN36">
        <v>696</v>
      </c>
      <c r="BO36" s="14">
        <f t="shared" si="46"/>
        <v>39</v>
      </c>
      <c r="BP36" s="14">
        <f t="shared" si="47"/>
        <v>717</v>
      </c>
      <c r="BR36">
        <v>23</v>
      </c>
      <c r="BS36">
        <v>351</v>
      </c>
      <c r="BT36">
        <v>31</v>
      </c>
      <c r="BU36">
        <v>673</v>
      </c>
      <c r="BX36" s="14">
        <f t="shared" si="48"/>
        <v>54</v>
      </c>
      <c r="BY36" s="14">
        <f t="shared" si="49"/>
        <v>1024</v>
      </c>
      <c r="CC36">
        <f>1+1</f>
        <v>2</v>
      </c>
      <c r="CD36">
        <f>14+6</f>
        <v>20</v>
      </c>
      <c r="CE36" s="13">
        <f t="shared" si="50"/>
        <v>95</v>
      </c>
      <c r="CF36" s="13">
        <f t="shared" si="51"/>
        <v>1761</v>
      </c>
      <c r="CG36" s="10">
        <f t="shared" si="52"/>
        <v>18.536842105263158</v>
      </c>
      <c r="CH36" s="10"/>
      <c r="CJ36">
        <v>7</v>
      </c>
      <c r="CK36">
        <v>13</v>
      </c>
      <c r="CL36">
        <v>38</v>
      </c>
      <c r="CM36">
        <v>410</v>
      </c>
      <c r="CN36" s="14">
        <f t="shared" si="53"/>
        <v>45</v>
      </c>
      <c r="CO36" s="14">
        <f t="shared" si="54"/>
        <v>423</v>
      </c>
      <c r="CP36" s="12"/>
      <c r="CT36">
        <v>1176</v>
      </c>
      <c r="CU36">
        <v>17345</v>
      </c>
      <c r="CV36">
        <v>4</v>
      </c>
      <c r="CW36">
        <v>967</v>
      </c>
      <c r="CX36">
        <v>81</v>
      </c>
      <c r="CY36">
        <v>1197</v>
      </c>
      <c r="DJ36">
        <v>9</v>
      </c>
      <c r="DK36">
        <v>130</v>
      </c>
      <c r="DT36">
        <v>33</v>
      </c>
      <c r="DU36">
        <v>478</v>
      </c>
      <c r="DV36" s="3">
        <f t="shared" si="55"/>
        <v>1303</v>
      </c>
      <c r="DW36" s="3">
        <f t="shared" si="56"/>
        <v>20117</v>
      </c>
      <c r="DY36">
        <v>14</v>
      </c>
      <c r="DZ36">
        <v>736</v>
      </c>
      <c r="EG36">
        <v>33</v>
      </c>
      <c r="EH36">
        <v>634</v>
      </c>
      <c r="EI36">
        <v>2</v>
      </c>
      <c r="EJ36">
        <v>53</v>
      </c>
      <c r="EK36" s="3">
        <f t="shared" si="57"/>
        <v>49</v>
      </c>
      <c r="EL36" s="3">
        <f t="shared" si="58"/>
        <v>1423</v>
      </c>
      <c r="EM36" s="5">
        <f t="shared" si="59"/>
        <v>1397</v>
      </c>
      <c r="EN36" s="5">
        <f t="shared" si="60"/>
        <v>21963</v>
      </c>
      <c r="EO36" s="10">
        <f t="shared" si="61"/>
        <v>15.721546170365068</v>
      </c>
      <c r="EU36">
        <f>7+1</f>
        <v>8</v>
      </c>
      <c r="EV36">
        <f>26+2</f>
        <v>28</v>
      </c>
      <c r="EY36" s="3">
        <f t="shared" si="62"/>
        <v>8</v>
      </c>
      <c r="EZ36" s="3">
        <f t="shared" si="63"/>
        <v>28</v>
      </c>
      <c r="FB36">
        <v>55</v>
      </c>
      <c r="FC36">
        <v>290</v>
      </c>
      <c r="FD36">
        <v>120</v>
      </c>
      <c r="FE36">
        <v>442</v>
      </c>
      <c r="FF36">
        <v>668</v>
      </c>
      <c r="FG36">
        <v>1014</v>
      </c>
      <c r="FH36" s="3">
        <f t="shared" si="64"/>
        <v>843</v>
      </c>
      <c r="FI36" s="3">
        <f t="shared" si="65"/>
        <v>1746</v>
      </c>
      <c r="FK36">
        <v>3</v>
      </c>
      <c r="FL36">
        <v>42</v>
      </c>
      <c r="FO36">
        <v>62</v>
      </c>
      <c r="FP36">
        <v>381</v>
      </c>
      <c r="FQ36" s="3">
        <f t="shared" si="66"/>
        <v>65</v>
      </c>
      <c r="FR36" s="3">
        <f t="shared" si="67"/>
        <v>423</v>
      </c>
      <c r="FT36">
        <v>6</v>
      </c>
      <c r="FU36">
        <v>91</v>
      </c>
      <c r="FV36">
        <v>19</v>
      </c>
      <c r="FW36">
        <v>139</v>
      </c>
      <c r="FX36">
        <v>10</v>
      </c>
      <c r="FY36">
        <v>117</v>
      </c>
      <c r="FZ36">
        <v>2</v>
      </c>
      <c r="GA36">
        <v>59</v>
      </c>
      <c r="GB36" s="3">
        <f t="shared" si="68"/>
        <v>37</v>
      </c>
      <c r="GC36" s="3">
        <f t="shared" si="69"/>
        <v>406</v>
      </c>
      <c r="GE36">
        <f>80+102+1</f>
        <v>183</v>
      </c>
      <c r="GF36">
        <f>336+168+5</f>
        <v>509</v>
      </c>
      <c r="GK36">
        <v>738</v>
      </c>
      <c r="GL36">
        <v>3014</v>
      </c>
      <c r="GO36">
        <v>14</v>
      </c>
      <c r="GP36">
        <v>140</v>
      </c>
      <c r="GQ36">
        <v>16</v>
      </c>
      <c r="GR36">
        <v>103</v>
      </c>
      <c r="GS36" s="3">
        <f t="shared" si="70"/>
        <v>951</v>
      </c>
      <c r="GT36" s="3">
        <f t="shared" si="71"/>
        <v>3766</v>
      </c>
      <c r="GU36" s="5">
        <f t="shared" si="72"/>
        <v>1904</v>
      </c>
      <c r="GV36" s="5">
        <f t="shared" si="73"/>
        <v>6369</v>
      </c>
      <c r="GW36" s="10">
        <f t="shared" si="74"/>
        <v>3.3450630252100839</v>
      </c>
      <c r="GZ36">
        <v>36</v>
      </c>
      <c r="HA36">
        <v>527</v>
      </c>
      <c r="HB36">
        <v>17</v>
      </c>
      <c r="HC36">
        <v>793</v>
      </c>
      <c r="HD36">
        <v>12</v>
      </c>
      <c r="HE36">
        <v>111</v>
      </c>
      <c r="HF36">
        <v>443</v>
      </c>
      <c r="HG36">
        <v>1829</v>
      </c>
      <c r="HH36">
        <v>750</v>
      </c>
      <c r="HI36">
        <v>2219</v>
      </c>
      <c r="HJ36">
        <v>85</v>
      </c>
      <c r="HK36">
        <v>365</v>
      </c>
      <c r="HL36">
        <v>57</v>
      </c>
      <c r="HM36">
        <v>277</v>
      </c>
      <c r="HN36">
        <v>3</v>
      </c>
      <c r="HO36">
        <v>63</v>
      </c>
      <c r="HP36" s="3">
        <f t="shared" si="75"/>
        <v>1403</v>
      </c>
      <c r="HQ36" s="3">
        <f t="shared" si="76"/>
        <v>6184</v>
      </c>
      <c r="HT36">
        <v>1</v>
      </c>
      <c r="HU36">
        <v>3</v>
      </c>
      <c r="HV36">
        <v>257</v>
      </c>
      <c r="HW36">
        <v>1507</v>
      </c>
      <c r="HX36">
        <v>59</v>
      </c>
      <c r="HY36">
        <v>466</v>
      </c>
      <c r="HZ36">
        <v>3</v>
      </c>
      <c r="IA36">
        <v>41</v>
      </c>
      <c r="IB36">
        <v>2</v>
      </c>
      <c r="IC36">
        <v>21</v>
      </c>
      <c r="ID36" s="3">
        <f t="shared" si="77"/>
        <v>322</v>
      </c>
      <c r="IE36" s="3">
        <f t="shared" si="78"/>
        <v>2038</v>
      </c>
      <c r="IF36" s="3"/>
      <c r="II36">
        <v>16</v>
      </c>
      <c r="IJ36">
        <v>205</v>
      </c>
      <c r="IK36" s="3">
        <f t="shared" si="79"/>
        <v>16</v>
      </c>
      <c r="IL36" s="3">
        <f t="shared" si="80"/>
        <v>205</v>
      </c>
      <c r="IR36">
        <f>26+7+6</f>
        <v>39</v>
      </c>
      <c r="IS36">
        <f>43+15+8</f>
        <v>66</v>
      </c>
      <c r="IV36">
        <v>448</v>
      </c>
      <c r="IW36">
        <v>2167</v>
      </c>
      <c r="IX36">
        <v>327</v>
      </c>
      <c r="IY36">
        <v>4580</v>
      </c>
      <c r="IZ36">
        <v>188</v>
      </c>
      <c r="JA36">
        <v>364</v>
      </c>
      <c r="JB36">
        <v>19</v>
      </c>
      <c r="JC36">
        <v>104</v>
      </c>
      <c r="JD36">
        <v>11</v>
      </c>
      <c r="JE36">
        <v>41</v>
      </c>
      <c r="JF36" s="3">
        <f t="shared" si="81"/>
        <v>1032</v>
      </c>
      <c r="JG36" s="3">
        <f t="shared" si="82"/>
        <v>7322</v>
      </c>
      <c r="JI36" s="5">
        <f t="shared" si="83"/>
        <v>2773</v>
      </c>
      <c r="JJ36" s="5">
        <f t="shared" si="84"/>
        <v>15749</v>
      </c>
      <c r="JK36" s="10">
        <f t="shared" si="85"/>
        <v>5.6794085827623508</v>
      </c>
      <c r="JR36">
        <v>34</v>
      </c>
      <c r="JS36">
        <v>459</v>
      </c>
      <c r="JT36">
        <v>22</v>
      </c>
      <c r="JU36">
        <v>194</v>
      </c>
      <c r="JV36">
        <v>71</v>
      </c>
      <c r="JW36">
        <v>631</v>
      </c>
      <c r="JX36">
        <v>5</v>
      </c>
      <c r="JY36">
        <v>73</v>
      </c>
      <c r="KB36">
        <v>2</v>
      </c>
      <c r="KC36">
        <v>49</v>
      </c>
      <c r="KD36">
        <v>9</v>
      </c>
      <c r="KE36">
        <v>61</v>
      </c>
      <c r="KF36" s="3">
        <f t="shared" si="86"/>
        <v>143</v>
      </c>
      <c r="KG36" s="3">
        <f t="shared" si="87"/>
        <v>1467</v>
      </c>
      <c r="KJ36">
        <f>2+3+1</f>
        <v>6</v>
      </c>
      <c r="KK36">
        <f>34+39+14</f>
        <v>87</v>
      </c>
      <c r="KL36">
        <v>4</v>
      </c>
      <c r="KM36">
        <v>155</v>
      </c>
      <c r="KN36">
        <v>1</v>
      </c>
      <c r="KO36">
        <v>7</v>
      </c>
      <c r="KP36" s="3">
        <f t="shared" si="88"/>
        <v>11</v>
      </c>
      <c r="KQ36" s="3">
        <f t="shared" si="89"/>
        <v>249</v>
      </c>
      <c r="KS36" s="5">
        <f t="shared" si="90"/>
        <v>154</v>
      </c>
      <c r="KT36" s="5">
        <f t="shared" si="91"/>
        <v>1716</v>
      </c>
      <c r="KU36" s="10">
        <f t="shared" si="92"/>
        <v>11.142857142857142</v>
      </c>
      <c r="KW36" s="5">
        <f t="shared" si="93"/>
        <v>7802</v>
      </c>
      <c r="KX36" s="5">
        <f t="shared" si="94"/>
        <v>55474</v>
      </c>
      <c r="KY36" s="10">
        <f t="shared" si="95"/>
        <v>7.1102281466290691</v>
      </c>
      <c r="LA36" s="15" t="s">
        <v>321</v>
      </c>
      <c r="LB36">
        <v>478171</v>
      </c>
      <c r="LD36" s="11">
        <f t="shared" si="96"/>
        <v>16.316338715647749</v>
      </c>
      <c r="LE36" s="11">
        <f t="shared" si="97"/>
        <v>116.01289078593223</v>
      </c>
      <c r="LG36" s="10"/>
    </row>
    <row r="37" spans="1:319" ht="15.75" x14ac:dyDescent="0.25">
      <c r="A37" s="22" t="s">
        <v>392</v>
      </c>
      <c r="B37" s="24" t="s">
        <v>322</v>
      </c>
      <c r="C37" s="1"/>
      <c r="D37" s="1"/>
      <c r="E37">
        <f>8+1+2+2</f>
        <v>13</v>
      </c>
      <c r="F37">
        <f>17+1+5+33</f>
        <v>56</v>
      </c>
      <c r="G37">
        <f>31+2+1+4+10+3+4</f>
        <v>55</v>
      </c>
      <c r="H37">
        <f>190+18+31+19+54+34+47</f>
        <v>393</v>
      </c>
      <c r="J37">
        <v>5</v>
      </c>
      <c r="K37">
        <v>28</v>
      </c>
      <c r="L37">
        <v>199</v>
      </c>
      <c r="M37">
        <v>513</v>
      </c>
      <c r="N37" s="3">
        <f t="shared" si="29"/>
        <v>204</v>
      </c>
      <c r="O37" s="3">
        <f t="shared" si="30"/>
        <v>541</v>
      </c>
      <c r="P37" s="5">
        <f t="shared" si="31"/>
        <v>272</v>
      </c>
      <c r="Q37" s="5">
        <f t="shared" si="32"/>
        <v>990</v>
      </c>
      <c r="R37" s="10">
        <f t="shared" si="33"/>
        <v>3.6397058823529411</v>
      </c>
      <c r="U37">
        <f>9+1+10+1+1+12+5+3</f>
        <v>42</v>
      </c>
      <c r="V37">
        <f>40+1+48+7+1+38+44+18</f>
        <v>197</v>
      </c>
      <c r="W37">
        <f>500+4+11+8</f>
        <v>523</v>
      </c>
      <c r="X37">
        <f>1495+12+64+141</f>
        <v>1712</v>
      </c>
      <c r="Y37">
        <v>108</v>
      </c>
      <c r="Z37">
        <v>501</v>
      </c>
      <c r="AA37" s="3">
        <f t="shared" si="34"/>
        <v>673</v>
      </c>
      <c r="AB37" s="3">
        <f t="shared" si="35"/>
        <v>2410</v>
      </c>
      <c r="AD37">
        <f>1+17+2</f>
        <v>20</v>
      </c>
      <c r="AE37">
        <f>88+207+3</f>
        <v>298</v>
      </c>
      <c r="AF37">
        <f>1+1+30</f>
        <v>32</v>
      </c>
      <c r="AG37">
        <f>10+54+233</f>
        <v>297</v>
      </c>
      <c r="AI37">
        <f>1+7+3+4</f>
        <v>15</v>
      </c>
      <c r="AJ37">
        <f>1+20+18+13</f>
        <v>52</v>
      </c>
      <c r="AK37">
        <v>32</v>
      </c>
      <c r="AL37">
        <v>166</v>
      </c>
      <c r="AM37" s="3">
        <f t="shared" si="36"/>
        <v>47</v>
      </c>
      <c r="AN37" s="3">
        <f t="shared" si="37"/>
        <v>218</v>
      </c>
      <c r="AP37" s="5">
        <f t="shared" si="38"/>
        <v>772</v>
      </c>
      <c r="AQ37" s="5">
        <f t="shared" si="39"/>
        <v>3223</v>
      </c>
      <c r="AR37" s="10">
        <f t="shared" si="40"/>
        <v>4.1748704663212433</v>
      </c>
      <c r="AU37">
        <f>20+7+2</f>
        <v>29</v>
      </c>
      <c r="AV37">
        <f>588+25+3</f>
        <v>616</v>
      </c>
      <c r="AW37">
        <v>135</v>
      </c>
      <c r="AX37">
        <v>561</v>
      </c>
      <c r="AY37" s="3">
        <f t="shared" si="41"/>
        <v>164</v>
      </c>
      <c r="AZ37" s="3">
        <f t="shared" si="42"/>
        <v>1177</v>
      </c>
      <c r="BD37">
        <v>7</v>
      </c>
      <c r="BE37">
        <v>143</v>
      </c>
      <c r="BF37" s="13">
        <f t="shared" si="43"/>
        <v>171</v>
      </c>
      <c r="BG37" s="13">
        <f t="shared" si="44"/>
        <v>1320</v>
      </c>
      <c r="BH37" s="10">
        <f t="shared" si="45"/>
        <v>7.7192982456140351</v>
      </c>
      <c r="BI37" s="10"/>
      <c r="BK37">
        <f>1+4+1</f>
        <v>6</v>
      </c>
      <c r="BL37">
        <f>92+35+7</f>
        <v>134</v>
      </c>
      <c r="BM37">
        <v>26</v>
      </c>
      <c r="BN37">
        <v>867</v>
      </c>
      <c r="BO37" s="14">
        <f t="shared" si="46"/>
        <v>32</v>
      </c>
      <c r="BP37" s="14">
        <f t="shared" si="47"/>
        <v>1001</v>
      </c>
      <c r="BR37">
        <f>1+4+1+1+1</f>
        <v>8</v>
      </c>
      <c r="BS37">
        <f>1+44+3+1+3</f>
        <v>52</v>
      </c>
      <c r="BT37">
        <v>47</v>
      </c>
      <c r="BU37">
        <v>792</v>
      </c>
      <c r="BX37" s="14">
        <f t="shared" si="48"/>
        <v>55</v>
      </c>
      <c r="BY37" s="14">
        <f t="shared" si="49"/>
        <v>844</v>
      </c>
      <c r="CC37">
        <f>2+11+3+1+5</f>
        <v>22</v>
      </c>
      <c r="CD37">
        <f>9+117+4+6+31</f>
        <v>167</v>
      </c>
      <c r="CE37" s="13">
        <f t="shared" si="50"/>
        <v>109</v>
      </c>
      <c r="CF37" s="13">
        <f t="shared" si="51"/>
        <v>2012</v>
      </c>
      <c r="CG37" s="10">
        <f t="shared" si="52"/>
        <v>18.458715596330276</v>
      </c>
      <c r="CH37" s="10"/>
      <c r="CJ37">
        <f>7+1</f>
        <v>8</v>
      </c>
      <c r="CK37">
        <f>10+9</f>
        <v>19</v>
      </c>
      <c r="CL37">
        <v>50</v>
      </c>
      <c r="CM37">
        <v>764</v>
      </c>
      <c r="CN37" s="14">
        <f t="shared" si="53"/>
        <v>58</v>
      </c>
      <c r="CO37" s="14">
        <f t="shared" si="54"/>
        <v>783</v>
      </c>
      <c r="CP37" s="12"/>
      <c r="CT37">
        <v>1114</v>
      </c>
      <c r="CU37">
        <v>7875</v>
      </c>
      <c r="CX37">
        <f>266+3</f>
        <v>269</v>
      </c>
      <c r="CY37">
        <f>2609+7</f>
        <v>2616</v>
      </c>
      <c r="CZ37">
        <v>1</v>
      </c>
      <c r="DA37">
        <v>1</v>
      </c>
      <c r="DB37">
        <v>2</v>
      </c>
      <c r="DC37">
        <v>641</v>
      </c>
      <c r="DH37">
        <v>4</v>
      </c>
      <c r="DI37">
        <v>29</v>
      </c>
      <c r="DJ37">
        <v>13</v>
      </c>
      <c r="DK37">
        <v>327</v>
      </c>
      <c r="DP37">
        <v>1</v>
      </c>
      <c r="DQ37">
        <v>9</v>
      </c>
      <c r="DT37">
        <v>22</v>
      </c>
      <c r="DU37">
        <v>266</v>
      </c>
      <c r="DV37" s="3">
        <f t="shared" si="55"/>
        <v>1426</v>
      </c>
      <c r="DW37" s="3">
        <f t="shared" si="56"/>
        <v>11764</v>
      </c>
      <c r="DY37">
        <v>21</v>
      </c>
      <c r="DZ37">
        <v>1063</v>
      </c>
      <c r="EA37">
        <v>8</v>
      </c>
      <c r="EB37">
        <v>158</v>
      </c>
      <c r="EC37">
        <v>4</v>
      </c>
      <c r="ED37">
        <v>59</v>
      </c>
      <c r="EG37">
        <f>1+108</f>
        <v>109</v>
      </c>
      <c r="EH37">
        <f>3+1515</f>
        <v>1518</v>
      </c>
      <c r="EI37">
        <v>8</v>
      </c>
      <c r="EJ37">
        <v>63</v>
      </c>
      <c r="EK37" s="3">
        <f t="shared" si="57"/>
        <v>150</v>
      </c>
      <c r="EL37" s="3">
        <f t="shared" si="58"/>
        <v>2861</v>
      </c>
      <c r="EM37" s="5">
        <f t="shared" si="59"/>
        <v>1634</v>
      </c>
      <c r="EN37" s="5">
        <f t="shared" si="60"/>
        <v>15408</v>
      </c>
      <c r="EO37" s="10">
        <f t="shared" si="61"/>
        <v>9.4296205630354955</v>
      </c>
      <c r="EU37">
        <f>1+10</f>
        <v>11</v>
      </c>
      <c r="EV37">
        <f>2+43</f>
        <v>45</v>
      </c>
      <c r="EW37">
        <v>31</v>
      </c>
      <c r="EX37">
        <v>104</v>
      </c>
      <c r="EY37" s="3">
        <f t="shared" si="62"/>
        <v>42</v>
      </c>
      <c r="EZ37" s="3">
        <f t="shared" si="63"/>
        <v>149</v>
      </c>
      <c r="FD37">
        <v>49</v>
      </c>
      <c r="FE37">
        <v>147</v>
      </c>
      <c r="FF37">
        <v>450</v>
      </c>
      <c r="FG37">
        <v>680</v>
      </c>
      <c r="FH37" s="3">
        <f t="shared" si="64"/>
        <v>499</v>
      </c>
      <c r="FI37" s="3">
        <f t="shared" si="65"/>
        <v>827</v>
      </c>
      <c r="FK37">
        <f>1+5</f>
        <v>6</v>
      </c>
      <c r="FL37">
        <f>5+68</f>
        <v>73</v>
      </c>
      <c r="FO37">
        <v>14</v>
      </c>
      <c r="FP37">
        <v>122</v>
      </c>
      <c r="FQ37" s="3">
        <f t="shared" si="66"/>
        <v>20</v>
      </c>
      <c r="FR37" s="3">
        <f t="shared" si="67"/>
        <v>195</v>
      </c>
      <c r="FT37">
        <f>1+1</f>
        <v>2</v>
      </c>
      <c r="FU37">
        <f>12+3</f>
        <v>15</v>
      </c>
      <c r="FV37">
        <v>1</v>
      </c>
      <c r="FW37">
        <v>2</v>
      </c>
      <c r="FX37">
        <v>37</v>
      </c>
      <c r="FY37">
        <v>149</v>
      </c>
      <c r="FZ37">
        <v>22</v>
      </c>
      <c r="GA37">
        <v>192</v>
      </c>
      <c r="GB37" s="3">
        <f t="shared" si="68"/>
        <v>62</v>
      </c>
      <c r="GC37" s="3">
        <f t="shared" si="69"/>
        <v>358</v>
      </c>
      <c r="GE37">
        <f>3+156+35+4+3+2</f>
        <v>203</v>
      </c>
      <c r="GF37">
        <f>7+106+118+4+7+4</f>
        <v>246</v>
      </c>
      <c r="GG37">
        <v>8</v>
      </c>
      <c r="GH37">
        <v>36</v>
      </c>
      <c r="GI37">
        <v>149</v>
      </c>
      <c r="GJ37">
        <v>99</v>
      </c>
      <c r="GK37">
        <v>805</v>
      </c>
      <c r="GL37">
        <v>2950</v>
      </c>
      <c r="GO37">
        <v>46</v>
      </c>
      <c r="GP37">
        <v>258</v>
      </c>
      <c r="GQ37">
        <v>19</v>
      </c>
      <c r="GR37">
        <v>82</v>
      </c>
      <c r="GS37" s="3">
        <f t="shared" si="70"/>
        <v>1230</v>
      </c>
      <c r="GT37" s="3">
        <f t="shared" si="71"/>
        <v>3671</v>
      </c>
      <c r="GU37" s="5">
        <f t="shared" si="72"/>
        <v>1853</v>
      </c>
      <c r="GV37" s="5">
        <f t="shared" si="73"/>
        <v>5200</v>
      </c>
      <c r="GW37" s="10">
        <f t="shared" si="74"/>
        <v>2.8062601187263896</v>
      </c>
      <c r="GZ37">
        <v>1</v>
      </c>
      <c r="HA37">
        <v>1</v>
      </c>
      <c r="HB37">
        <v>98</v>
      </c>
      <c r="HC37">
        <v>626</v>
      </c>
      <c r="HD37">
        <v>6</v>
      </c>
      <c r="HE37">
        <v>23</v>
      </c>
      <c r="HF37">
        <v>1221</v>
      </c>
      <c r="HG37">
        <v>3223</v>
      </c>
      <c r="HH37">
        <v>442</v>
      </c>
      <c r="HI37">
        <v>1239</v>
      </c>
      <c r="HJ37">
        <v>31</v>
      </c>
      <c r="HK37">
        <v>167</v>
      </c>
      <c r="HL37">
        <v>44</v>
      </c>
      <c r="HM37">
        <v>182</v>
      </c>
      <c r="HN37">
        <v>10</v>
      </c>
      <c r="HO37">
        <v>120</v>
      </c>
      <c r="HP37" s="3">
        <f t="shared" si="75"/>
        <v>1853</v>
      </c>
      <c r="HQ37" s="3">
        <f t="shared" si="76"/>
        <v>5581</v>
      </c>
      <c r="HT37">
        <f>2+1</f>
        <v>3</v>
      </c>
      <c r="HU37">
        <f>3+2</f>
        <v>5</v>
      </c>
      <c r="HV37">
        <v>128</v>
      </c>
      <c r="HW37">
        <v>608</v>
      </c>
      <c r="HX37">
        <v>57</v>
      </c>
      <c r="HY37">
        <v>359</v>
      </c>
      <c r="HZ37">
        <v>12</v>
      </c>
      <c r="IA37">
        <v>145</v>
      </c>
      <c r="IB37">
        <v>9</v>
      </c>
      <c r="IC37">
        <v>45</v>
      </c>
      <c r="ID37" s="3">
        <f t="shared" si="77"/>
        <v>209</v>
      </c>
      <c r="IE37" s="3">
        <f t="shared" si="78"/>
        <v>1162</v>
      </c>
      <c r="IF37" s="3"/>
      <c r="IG37">
        <f>5+2+1</f>
        <v>8</v>
      </c>
      <c r="IH37">
        <f>104+17+5</f>
        <v>126</v>
      </c>
      <c r="II37">
        <v>27</v>
      </c>
      <c r="IJ37">
        <v>157</v>
      </c>
      <c r="IK37" s="3">
        <f t="shared" si="79"/>
        <v>35</v>
      </c>
      <c r="IL37" s="3">
        <f t="shared" si="80"/>
        <v>283</v>
      </c>
      <c r="IN37">
        <f>3+14</f>
        <v>17</v>
      </c>
      <c r="IO37">
        <f>44+36</f>
        <v>80</v>
      </c>
      <c r="IR37">
        <f>2+5+2+1+1+2+6</f>
        <v>19</v>
      </c>
      <c r="IS37">
        <f>2+9+6+7+2+16+38</f>
        <v>80</v>
      </c>
      <c r="IT37">
        <v>3</v>
      </c>
      <c r="IU37">
        <v>3</v>
      </c>
      <c r="IV37">
        <v>311</v>
      </c>
      <c r="IW37">
        <v>1259</v>
      </c>
      <c r="IX37">
        <v>153</v>
      </c>
      <c r="IY37">
        <v>534</v>
      </c>
      <c r="IZ37">
        <v>33</v>
      </c>
      <c r="JA37">
        <v>160</v>
      </c>
      <c r="JB37">
        <v>15</v>
      </c>
      <c r="JC37">
        <v>42</v>
      </c>
      <c r="JD37">
        <v>7</v>
      </c>
      <c r="JE37">
        <v>29</v>
      </c>
      <c r="JF37" s="3">
        <f t="shared" si="81"/>
        <v>541</v>
      </c>
      <c r="JG37" s="3">
        <f t="shared" si="82"/>
        <v>2107</v>
      </c>
      <c r="JI37" s="5">
        <f t="shared" si="83"/>
        <v>2655</v>
      </c>
      <c r="JJ37" s="5">
        <f t="shared" si="84"/>
        <v>9213</v>
      </c>
      <c r="JK37" s="10">
        <f t="shared" si="85"/>
        <v>3.4700564971751411</v>
      </c>
      <c r="JN37">
        <f>10+7</f>
        <v>17</v>
      </c>
      <c r="JO37">
        <f>8+25</f>
        <v>33</v>
      </c>
      <c r="JP37">
        <v>1</v>
      </c>
      <c r="JQ37">
        <v>2</v>
      </c>
      <c r="JR37">
        <v>8</v>
      </c>
      <c r="JS37">
        <v>541</v>
      </c>
      <c r="JT37">
        <v>72</v>
      </c>
      <c r="JU37">
        <v>261</v>
      </c>
      <c r="JV37">
        <v>75</v>
      </c>
      <c r="JW37">
        <v>852</v>
      </c>
      <c r="JX37">
        <v>6</v>
      </c>
      <c r="JY37">
        <v>42</v>
      </c>
      <c r="JZ37">
        <v>1</v>
      </c>
      <c r="KA37">
        <v>13</v>
      </c>
      <c r="KB37">
        <v>32</v>
      </c>
      <c r="KC37">
        <v>81</v>
      </c>
      <c r="KD37">
        <v>14</v>
      </c>
      <c r="KE37">
        <v>69</v>
      </c>
      <c r="KF37" s="3">
        <f t="shared" si="86"/>
        <v>226</v>
      </c>
      <c r="KG37" s="3">
        <f t="shared" si="87"/>
        <v>1894</v>
      </c>
      <c r="KJ37">
        <f>1+3+5+4+1+2+2</f>
        <v>18</v>
      </c>
      <c r="KK37">
        <f>2+46+27+8+1+4+18</f>
        <v>106</v>
      </c>
      <c r="KL37">
        <v>4</v>
      </c>
      <c r="KM37">
        <v>285</v>
      </c>
      <c r="KN37">
        <v>1</v>
      </c>
      <c r="KO37">
        <v>5</v>
      </c>
      <c r="KP37" s="3">
        <f t="shared" si="88"/>
        <v>23</v>
      </c>
      <c r="KQ37" s="3">
        <f t="shared" si="89"/>
        <v>396</v>
      </c>
      <c r="KS37" s="5">
        <f t="shared" si="90"/>
        <v>249</v>
      </c>
      <c r="KT37" s="5">
        <f t="shared" si="91"/>
        <v>2290</v>
      </c>
      <c r="KU37" s="10">
        <f t="shared" si="92"/>
        <v>9.1967871485943782</v>
      </c>
      <c r="KW37" s="5">
        <f t="shared" si="93"/>
        <v>7715</v>
      </c>
      <c r="KX37" s="5">
        <f t="shared" si="94"/>
        <v>39656</v>
      </c>
      <c r="KY37" s="10">
        <f t="shared" si="95"/>
        <v>5.1401166558651976</v>
      </c>
      <c r="LA37" s="15" t="s">
        <v>323</v>
      </c>
      <c r="LB37">
        <v>434878</v>
      </c>
      <c r="LD37" s="11">
        <f t="shared" si="96"/>
        <v>17.740607710668279</v>
      </c>
      <c r="LE37" s="11">
        <f t="shared" si="97"/>
        <v>91.188793178776578</v>
      </c>
    </row>
    <row r="38" spans="1:319" ht="15.75" x14ac:dyDescent="0.25">
      <c r="A38" s="22" t="s">
        <v>393</v>
      </c>
      <c r="B38" s="24" t="s">
        <v>324</v>
      </c>
      <c r="C38" s="1"/>
      <c r="D38" s="1"/>
      <c r="E38">
        <f>3+3</f>
        <v>6</v>
      </c>
      <c r="F38">
        <f>62+8</f>
        <v>70</v>
      </c>
      <c r="G38">
        <f>8+19</f>
        <v>27</v>
      </c>
      <c r="H38">
        <f>26+129</f>
        <v>155</v>
      </c>
      <c r="L38">
        <v>131</v>
      </c>
      <c r="M38">
        <v>387</v>
      </c>
      <c r="N38" s="3">
        <f t="shared" si="29"/>
        <v>131</v>
      </c>
      <c r="O38" s="3">
        <f t="shared" si="30"/>
        <v>387</v>
      </c>
      <c r="P38" s="5">
        <f t="shared" si="31"/>
        <v>164</v>
      </c>
      <c r="Q38" s="5">
        <f t="shared" si="32"/>
        <v>612</v>
      </c>
      <c r="R38" s="10">
        <f t="shared" si="33"/>
        <v>3.7317073170731709</v>
      </c>
      <c r="U38">
        <f>2+8+8+2</f>
        <v>20</v>
      </c>
      <c r="V38">
        <f>4+75+53+12</f>
        <v>144</v>
      </c>
      <c r="W38">
        <f>361+2+9</f>
        <v>372</v>
      </c>
      <c r="X38">
        <f>1022+22+95</f>
        <v>1139</v>
      </c>
      <c r="Y38">
        <v>80</v>
      </c>
      <c r="Z38">
        <v>460</v>
      </c>
      <c r="AA38" s="3">
        <f t="shared" si="34"/>
        <v>472</v>
      </c>
      <c r="AB38" s="3">
        <f t="shared" si="35"/>
        <v>1743</v>
      </c>
      <c r="AD38">
        <v>20</v>
      </c>
      <c r="AE38">
        <v>114</v>
      </c>
      <c r="AF38">
        <v>13</v>
      </c>
      <c r="AG38">
        <v>161</v>
      </c>
      <c r="AI38">
        <f>1+2+5</f>
        <v>8</v>
      </c>
      <c r="AJ38">
        <f>5+8+29</f>
        <v>42</v>
      </c>
      <c r="AK38">
        <v>27</v>
      </c>
      <c r="AL38">
        <v>184</v>
      </c>
      <c r="AM38" s="3">
        <f t="shared" si="36"/>
        <v>35</v>
      </c>
      <c r="AN38" s="3">
        <f t="shared" si="37"/>
        <v>226</v>
      </c>
      <c r="AP38" s="5">
        <f t="shared" si="38"/>
        <v>540</v>
      </c>
      <c r="AQ38" s="5">
        <f t="shared" si="39"/>
        <v>2244</v>
      </c>
      <c r="AR38" s="10">
        <f t="shared" si="40"/>
        <v>4.1555555555555559</v>
      </c>
      <c r="AU38">
        <f>16+4+2</f>
        <v>22</v>
      </c>
      <c r="AV38">
        <f>233+43+36</f>
        <v>312</v>
      </c>
      <c r="AW38">
        <v>90</v>
      </c>
      <c r="AX38">
        <v>385</v>
      </c>
      <c r="AY38" s="3">
        <f t="shared" si="41"/>
        <v>112</v>
      </c>
      <c r="AZ38" s="3">
        <f t="shared" si="42"/>
        <v>697</v>
      </c>
      <c r="BB38">
        <v>5</v>
      </c>
      <c r="BC38">
        <v>147</v>
      </c>
      <c r="BD38">
        <f>6+12</f>
        <v>18</v>
      </c>
      <c r="BE38">
        <f>12+48</f>
        <v>60</v>
      </c>
      <c r="BF38" s="13">
        <f t="shared" si="43"/>
        <v>135</v>
      </c>
      <c r="BG38" s="13">
        <f t="shared" si="44"/>
        <v>904</v>
      </c>
      <c r="BH38" s="10">
        <f t="shared" si="45"/>
        <v>6.6962962962962962</v>
      </c>
      <c r="BI38" s="10"/>
      <c r="BK38">
        <v>9</v>
      </c>
      <c r="BL38">
        <v>135</v>
      </c>
      <c r="BM38">
        <v>22</v>
      </c>
      <c r="BN38">
        <v>587</v>
      </c>
      <c r="BO38" s="14">
        <f t="shared" si="46"/>
        <v>31</v>
      </c>
      <c r="BP38" s="14">
        <f t="shared" si="47"/>
        <v>722</v>
      </c>
      <c r="BR38">
        <v>1</v>
      </c>
      <c r="BS38">
        <v>4</v>
      </c>
      <c r="BT38">
        <v>35</v>
      </c>
      <c r="BU38">
        <v>389</v>
      </c>
      <c r="BX38" s="14">
        <f t="shared" si="48"/>
        <v>36</v>
      </c>
      <c r="BY38" s="14">
        <f t="shared" si="49"/>
        <v>393</v>
      </c>
      <c r="CA38">
        <f>1+4</f>
        <v>5</v>
      </c>
      <c r="CB38">
        <f>14+47</f>
        <v>61</v>
      </c>
      <c r="CC38">
        <f>1+2</f>
        <v>3</v>
      </c>
      <c r="CD38">
        <f>13+58</f>
        <v>71</v>
      </c>
      <c r="CE38" s="13">
        <f t="shared" si="50"/>
        <v>75</v>
      </c>
      <c r="CF38" s="13">
        <f t="shared" si="51"/>
        <v>1247</v>
      </c>
      <c r="CG38" s="10">
        <f t="shared" si="52"/>
        <v>16.626666666666665</v>
      </c>
      <c r="CH38" s="10"/>
      <c r="CJ38">
        <f>4+3</f>
        <v>7</v>
      </c>
      <c r="CK38">
        <f>12+14</f>
        <v>26</v>
      </c>
      <c r="CL38">
        <v>44</v>
      </c>
      <c r="CM38">
        <v>453</v>
      </c>
      <c r="CN38" s="14">
        <f t="shared" si="53"/>
        <v>51</v>
      </c>
      <c r="CO38" s="14">
        <f t="shared" si="54"/>
        <v>479</v>
      </c>
      <c r="CP38" s="12"/>
      <c r="CT38">
        <v>1022</v>
      </c>
      <c r="CU38">
        <v>10196</v>
      </c>
      <c r="CX38">
        <f>160+112</f>
        <v>272</v>
      </c>
      <c r="CY38">
        <f>1220+234</f>
        <v>1454</v>
      </c>
      <c r="DB38">
        <v>5</v>
      </c>
      <c r="DC38">
        <v>2700</v>
      </c>
      <c r="DJ38">
        <v>12</v>
      </c>
      <c r="DK38">
        <v>125</v>
      </c>
      <c r="DT38">
        <v>24</v>
      </c>
      <c r="DU38">
        <v>137</v>
      </c>
      <c r="DV38" s="3">
        <f t="shared" si="55"/>
        <v>1335</v>
      </c>
      <c r="DW38" s="3">
        <f t="shared" si="56"/>
        <v>14612</v>
      </c>
      <c r="DY38">
        <v>18</v>
      </c>
      <c r="DZ38">
        <v>669</v>
      </c>
      <c r="EG38">
        <v>36</v>
      </c>
      <c r="EH38">
        <v>433</v>
      </c>
      <c r="EI38">
        <v>17</v>
      </c>
      <c r="EJ38">
        <v>117</v>
      </c>
      <c r="EK38" s="3">
        <f t="shared" si="57"/>
        <v>71</v>
      </c>
      <c r="EL38" s="3">
        <f t="shared" si="58"/>
        <v>1219</v>
      </c>
      <c r="EM38" s="5">
        <f t="shared" si="59"/>
        <v>1457</v>
      </c>
      <c r="EN38" s="5">
        <f t="shared" si="60"/>
        <v>16310</v>
      </c>
      <c r="EO38" s="10">
        <f t="shared" si="61"/>
        <v>11.19423472889499</v>
      </c>
      <c r="EU38">
        <f>1+2</f>
        <v>3</v>
      </c>
      <c r="EV38">
        <f>4+10</f>
        <v>14</v>
      </c>
      <c r="EW38">
        <v>5</v>
      </c>
      <c r="EX38">
        <v>67</v>
      </c>
      <c r="EY38" s="3">
        <f t="shared" si="62"/>
        <v>8</v>
      </c>
      <c r="EZ38" s="3">
        <f t="shared" si="63"/>
        <v>81</v>
      </c>
      <c r="FB38">
        <v>1</v>
      </c>
      <c r="FC38">
        <v>4</v>
      </c>
      <c r="FD38">
        <v>64</v>
      </c>
      <c r="FE38">
        <v>267</v>
      </c>
      <c r="FF38">
        <v>230</v>
      </c>
      <c r="FG38">
        <v>465</v>
      </c>
      <c r="FH38" s="3">
        <f t="shared" si="64"/>
        <v>295</v>
      </c>
      <c r="FI38" s="3">
        <f t="shared" si="65"/>
        <v>736</v>
      </c>
      <c r="FK38">
        <v>2</v>
      </c>
      <c r="FL38">
        <v>12</v>
      </c>
      <c r="FO38">
        <v>35</v>
      </c>
      <c r="FP38">
        <v>137</v>
      </c>
      <c r="FQ38" s="3">
        <f t="shared" si="66"/>
        <v>37</v>
      </c>
      <c r="FR38" s="3">
        <f t="shared" si="67"/>
        <v>149</v>
      </c>
      <c r="FT38">
        <v>3</v>
      </c>
      <c r="FU38">
        <v>7</v>
      </c>
      <c r="FV38">
        <v>10</v>
      </c>
      <c r="FW38">
        <v>21</v>
      </c>
      <c r="FX38">
        <v>18</v>
      </c>
      <c r="FY38">
        <v>67</v>
      </c>
      <c r="FZ38">
        <v>7</v>
      </c>
      <c r="GA38">
        <v>53</v>
      </c>
      <c r="GB38" s="3">
        <f t="shared" si="68"/>
        <v>38</v>
      </c>
      <c r="GC38" s="3">
        <f t="shared" si="69"/>
        <v>148</v>
      </c>
      <c r="GE38">
        <f>120+4+24</f>
        <v>148</v>
      </c>
      <c r="GF38">
        <f>276+27+32</f>
        <v>335</v>
      </c>
      <c r="GG38">
        <v>2</v>
      </c>
      <c r="GH38">
        <v>6</v>
      </c>
      <c r="GI38">
        <v>57</v>
      </c>
      <c r="GJ38">
        <v>58</v>
      </c>
      <c r="GK38">
        <v>775</v>
      </c>
      <c r="GL38">
        <v>2569</v>
      </c>
      <c r="GO38">
        <v>16</v>
      </c>
      <c r="GP38">
        <v>77</v>
      </c>
      <c r="GQ38">
        <v>26</v>
      </c>
      <c r="GR38">
        <v>111</v>
      </c>
      <c r="GS38" s="3">
        <f t="shared" si="70"/>
        <v>1024</v>
      </c>
      <c r="GT38" s="3">
        <f t="shared" si="71"/>
        <v>3156</v>
      </c>
      <c r="GU38" s="5">
        <f t="shared" si="72"/>
        <v>1402</v>
      </c>
      <c r="GV38" s="5">
        <f t="shared" si="73"/>
        <v>4270</v>
      </c>
      <c r="GW38" s="10">
        <f t="shared" si="74"/>
        <v>3.0456490727532097</v>
      </c>
      <c r="HB38">
        <v>31</v>
      </c>
      <c r="HC38">
        <v>303</v>
      </c>
      <c r="HD38">
        <v>8</v>
      </c>
      <c r="HE38">
        <v>67</v>
      </c>
      <c r="HF38">
        <v>530</v>
      </c>
      <c r="HG38">
        <v>1651</v>
      </c>
      <c r="HH38">
        <v>459</v>
      </c>
      <c r="HI38">
        <v>1304</v>
      </c>
      <c r="HJ38">
        <v>51</v>
      </c>
      <c r="HK38">
        <v>230</v>
      </c>
      <c r="HL38">
        <v>60</v>
      </c>
      <c r="HM38">
        <v>277</v>
      </c>
      <c r="HN38">
        <v>3</v>
      </c>
      <c r="HO38">
        <v>19</v>
      </c>
      <c r="HP38" s="3">
        <f t="shared" si="75"/>
        <v>1142</v>
      </c>
      <c r="HQ38" s="3">
        <f t="shared" si="76"/>
        <v>3851</v>
      </c>
      <c r="HV38">
        <v>101</v>
      </c>
      <c r="HW38">
        <v>319</v>
      </c>
      <c r="HX38">
        <v>36</v>
      </c>
      <c r="HY38">
        <v>237</v>
      </c>
      <c r="HZ38">
        <v>2</v>
      </c>
      <c r="IA38">
        <v>16</v>
      </c>
      <c r="IB38">
        <v>3</v>
      </c>
      <c r="IC38">
        <v>12</v>
      </c>
      <c r="ID38" s="3">
        <f t="shared" si="77"/>
        <v>142</v>
      </c>
      <c r="IE38" s="3">
        <f t="shared" si="78"/>
        <v>584</v>
      </c>
      <c r="IF38" s="3"/>
      <c r="IG38">
        <v>3</v>
      </c>
      <c r="IH38">
        <v>43</v>
      </c>
      <c r="II38">
        <v>23</v>
      </c>
      <c r="IJ38">
        <v>146</v>
      </c>
      <c r="IK38" s="3">
        <f t="shared" si="79"/>
        <v>26</v>
      </c>
      <c r="IL38" s="3">
        <f t="shared" si="80"/>
        <v>189</v>
      </c>
      <c r="IR38">
        <v>3</v>
      </c>
      <c r="IS38">
        <v>5</v>
      </c>
      <c r="IT38">
        <v>17</v>
      </c>
      <c r="IU38">
        <v>48</v>
      </c>
      <c r="IV38">
        <v>271</v>
      </c>
      <c r="IW38">
        <v>1121</v>
      </c>
      <c r="IX38">
        <v>106</v>
      </c>
      <c r="IY38">
        <v>511</v>
      </c>
      <c r="IZ38">
        <v>10</v>
      </c>
      <c r="JA38">
        <v>40</v>
      </c>
      <c r="JB38">
        <v>11</v>
      </c>
      <c r="JC38">
        <v>26</v>
      </c>
      <c r="JD38">
        <v>12</v>
      </c>
      <c r="JE38">
        <v>19</v>
      </c>
      <c r="JF38" s="3">
        <f t="shared" si="81"/>
        <v>430</v>
      </c>
      <c r="JG38" s="3">
        <f t="shared" si="82"/>
        <v>1770</v>
      </c>
      <c r="JI38" s="5">
        <f t="shared" si="83"/>
        <v>1740</v>
      </c>
      <c r="JJ38" s="5">
        <f t="shared" si="84"/>
        <v>6394</v>
      </c>
      <c r="JK38" s="10">
        <f t="shared" si="85"/>
        <v>3.674712643678161</v>
      </c>
      <c r="JN38">
        <v>3</v>
      </c>
      <c r="JO38">
        <v>15</v>
      </c>
      <c r="JP38">
        <v>5</v>
      </c>
      <c r="JQ38">
        <v>273</v>
      </c>
      <c r="JR38">
        <v>13</v>
      </c>
      <c r="JS38">
        <v>151</v>
      </c>
      <c r="JT38">
        <v>47</v>
      </c>
      <c r="JU38">
        <v>146</v>
      </c>
      <c r="JV38">
        <v>34</v>
      </c>
      <c r="JW38">
        <v>245</v>
      </c>
      <c r="JX38">
        <v>33</v>
      </c>
      <c r="JY38">
        <v>72</v>
      </c>
      <c r="KB38">
        <v>18</v>
      </c>
      <c r="KC38">
        <v>45</v>
      </c>
      <c r="KD38">
        <v>3</v>
      </c>
      <c r="KE38">
        <v>14</v>
      </c>
      <c r="KF38" s="3">
        <f t="shared" si="86"/>
        <v>156</v>
      </c>
      <c r="KG38" s="3">
        <f t="shared" si="87"/>
        <v>961</v>
      </c>
      <c r="KJ38">
        <v>1</v>
      </c>
      <c r="KK38">
        <v>5</v>
      </c>
      <c r="KL38">
        <v>3</v>
      </c>
      <c r="KM38">
        <v>42</v>
      </c>
      <c r="KP38" s="3">
        <f t="shared" si="88"/>
        <v>4</v>
      </c>
      <c r="KQ38" s="3">
        <f t="shared" si="89"/>
        <v>47</v>
      </c>
      <c r="KS38" s="5">
        <f t="shared" si="90"/>
        <v>160</v>
      </c>
      <c r="KT38" s="5">
        <f t="shared" si="91"/>
        <v>1008</v>
      </c>
      <c r="KU38" s="10">
        <f t="shared" si="92"/>
        <v>6.3</v>
      </c>
      <c r="KW38" s="5">
        <f t="shared" si="93"/>
        <v>5673</v>
      </c>
      <c r="KX38" s="5">
        <f t="shared" si="94"/>
        <v>32989</v>
      </c>
      <c r="KY38" s="10">
        <f t="shared" si="95"/>
        <v>5.8150890181561783</v>
      </c>
      <c r="LA38" s="15" t="s">
        <v>325</v>
      </c>
      <c r="LB38">
        <v>435966</v>
      </c>
      <c r="LD38" s="11">
        <f t="shared" si="96"/>
        <v>13.012482624791842</v>
      </c>
      <c r="LE38" s="11">
        <f t="shared" si="97"/>
        <v>75.668744810375131</v>
      </c>
    </row>
    <row r="39" spans="1:319" ht="15.75" x14ac:dyDescent="0.25">
      <c r="A39" s="22" t="s">
        <v>394</v>
      </c>
      <c r="B39" s="24" t="s">
        <v>326</v>
      </c>
      <c r="C39" s="1"/>
      <c r="D39" s="1"/>
      <c r="G39">
        <f>16+1+2</f>
        <v>19</v>
      </c>
      <c r="H39">
        <f>63+2+8</f>
        <v>73</v>
      </c>
      <c r="L39">
        <v>112</v>
      </c>
      <c r="M39">
        <v>255</v>
      </c>
      <c r="N39" s="3">
        <f t="shared" si="29"/>
        <v>112</v>
      </c>
      <c r="O39" s="3">
        <f t="shared" si="30"/>
        <v>255</v>
      </c>
      <c r="P39" s="5">
        <f t="shared" si="31"/>
        <v>131</v>
      </c>
      <c r="Q39" s="5">
        <f t="shared" si="32"/>
        <v>328</v>
      </c>
      <c r="R39" s="10">
        <f t="shared" si="33"/>
        <v>2.5038167938931299</v>
      </c>
      <c r="U39">
        <f>1+23+5+6+1+2</f>
        <v>38</v>
      </c>
      <c r="V39">
        <f>413+30+13+8+4+3</f>
        <v>471</v>
      </c>
      <c r="W39">
        <f>494+3+2+76</f>
        <v>575</v>
      </c>
      <c r="X39">
        <f>1212+7+7+103</f>
        <v>1329</v>
      </c>
      <c r="Y39">
        <v>64</v>
      </c>
      <c r="Z39">
        <v>179</v>
      </c>
      <c r="AA39" s="3">
        <f t="shared" si="34"/>
        <v>677</v>
      </c>
      <c r="AB39" s="3">
        <f t="shared" si="35"/>
        <v>1979</v>
      </c>
      <c r="AD39">
        <f>1+8+1</f>
        <v>10</v>
      </c>
      <c r="AE39">
        <f>747+37+2</f>
        <v>786</v>
      </c>
      <c r="AF39">
        <v>9</v>
      </c>
      <c r="AG39">
        <v>59</v>
      </c>
      <c r="AI39">
        <f>1+5+1+8+2</f>
        <v>17</v>
      </c>
      <c r="AJ39">
        <f>125+12+2+26+2</f>
        <v>167</v>
      </c>
      <c r="AK39">
        <v>13</v>
      </c>
      <c r="AL39">
        <v>61</v>
      </c>
      <c r="AM39" s="3">
        <f t="shared" si="36"/>
        <v>30</v>
      </c>
      <c r="AN39" s="3">
        <f t="shared" si="37"/>
        <v>228</v>
      </c>
      <c r="AP39" s="5">
        <f t="shared" si="38"/>
        <v>726</v>
      </c>
      <c r="AQ39" s="5">
        <f t="shared" si="39"/>
        <v>3052</v>
      </c>
      <c r="AR39" s="10">
        <f t="shared" si="40"/>
        <v>4.2038567493112948</v>
      </c>
      <c r="AU39">
        <f>7+5</f>
        <v>12</v>
      </c>
      <c r="AV39">
        <f>83+37</f>
        <v>120</v>
      </c>
      <c r="AW39">
        <v>179</v>
      </c>
      <c r="AX39">
        <v>133</v>
      </c>
      <c r="AY39" s="3">
        <f t="shared" si="41"/>
        <v>191</v>
      </c>
      <c r="AZ39" s="3">
        <f t="shared" si="42"/>
        <v>253</v>
      </c>
      <c r="BB39">
        <v>5</v>
      </c>
      <c r="BC39">
        <v>526</v>
      </c>
      <c r="BD39">
        <f>7+5</f>
        <v>12</v>
      </c>
      <c r="BE39">
        <f>43+122</f>
        <v>165</v>
      </c>
      <c r="BF39" s="13">
        <f t="shared" si="43"/>
        <v>208</v>
      </c>
      <c r="BG39" s="13">
        <f t="shared" si="44"/>
        <v>944</v>
      </c>
      <c r="BH39" s="10">
        <f t="shared" si="45"/>
        <v>4.5384615384615383</v>
      </c>
      <c r="BI39" s="10"/>
      <c r="BK39">
        <v>4</v>
      </c>
      <c r="BL39">
        <v>19</v>
      </c>
      <c r="BM39">
        <v>21</v>
      </c>
      <c r="BN39">
        <v>521</v>
      </c>
      <c r="BO39" s="14">
        <f t="shared" si="46"/>
        <v>25</v>
      </c>
      <c r="BP39" s="14">
        <f t="shared" si="47"/>
        <v>540</v>
      </c>
      <c r="BR39">
        <f>1+10</f>
        <v>11</v>
      </c>
      <c r="BS39">
        <f>2+24</f>
        <v>26</v>
      </c>
      <c r="BT39">
        <v>16</v>
      </c>
      <c r="BU39">
        <v>107</v>
      </c>
      <c r="BX39" s="14">
        <f t="shared" si="48"/>
        <v>27</v>
      </c>
      <c r="BY39" s="14">
        <f t="shared" si="49"/>
        <v>133</v>
      </c>
      <c r="CC39">
        <f>2+1+1</f>
        <v>4</v>
      </c>
      <c r="CD39">
        <f>32+6+2</f>
        <v>40</v>
      </c>
      <c r="CE39" s="13">
        <f t="shared" si="50"/>
        <v>56</v>
      </c>
      <c r="CF39" s="13">
        <f t="shared" si="51"/>
        <v>713</v>
      </c>
      <c r="CG39" s="10">
        <f t="shared" si="52"/>
        <v>12.732142857142858</v>
      </c>
      <c r="CH39" s="10"/>
      <c r="CJ39">
        <v>4</v>
      </c>
      <c r="CK39">
        <v>7</v>
      </c>
      <c r="CL39">
        <v>41</v>
      </c>
      <c r="CM39">
        <v>116</v>
      </c>
      <c r="CN39" s="14">
        <f t="shared" si="53"/>
        <v>45</v>
      </c>
      <c r="CO39" s="14">
        <f t="shared" si="54"/>
        <v>123</v>
      </c>
      <c r="CP39" s="12"/>
      <c r="CT39">
        <v>592</v>
      </c>
      <c r="CU39">
        <v>3002</v>
      </c>
      <c r="CX39">
        <f>71+2</f>
        <v>73</v>
      </c>
      <c r="CY39">
        <f>463+4</f>
        <v>467</v>
      </c>
      <c r="DJ39">
        <v>7</v>
      </c>
      <c r="DK39">
        <v>119</v>
      </c>
      <c r="DT39">
        <v>10</v>
      </c>
      <c r="DU39">
        <v>122</v>
      </c>
      <c r="DV39" s="3">
        <f t="shared" si="55"/>
        <v>682</v>
      </c>
      <c r="DW39" s="3">
        <f t="shared" si="56"/>
        <v>3710</v>
      </c>
      <c r="DY39">
        <v>14</v>
      </c>
      <c r="DZ39">
        <v>235</v>
      </c>
      <c r="EE39">
        <v>2</v>
      </c>
      <c r="EF39">
        <v>10</v>
      </c>
      <c r="EG39">
        <v>37</v>
      </c>
      <c r="EH39">
        <v>401</v>
      </c>
      <c r="EI39">
        <v>4</v>
      </c>
      <c r="EJ39">
        <v>99</v>
      </c>
      <c r="EK39" s="3">
        <f t="shared" si="57"/>
        <v>57</v>
      </c>
      <c r="EL39" s="3">
        <f t="shared" si="58"/>
        <v>745</v>
      </c>
      <c r="EM39" s="5">
        <f t="shared" si="59"/>
        <v>784</v>
      </c>
      <c r="EN39" s="5">
        <f t="shared" si="60"/>
        <v>4578</v>
      </c>
      <c r="EO39" s="10">
        <f t="shared" si="61"/>
        <v>5.8392857142857144</v>
      </c>
      <c r="EU39">
        <f>1+4</f>
        <v>5</v>
      </c>
      <c r="EV39">
        <f>1+6</f>
        <v>7</v>
      </c>
      <c r="EW39">
        <v>65</v>
      </c>
      <c r="EX39">
        <v>187</v>
      </c>
      <c r="EY39" s="3">
        <f t="shared" si="62"/>
        <v>70</v>
      </c>
      <c r="EZ39" s="3">
        <f t="shared" si="63"/>
        <v>194</v>
      </c>
      <c r="FD39">
        <v>24</v>
      </c>
      <c r="FE39">
        <v>91</v>
      </c>
      <c r="FF39">
        <v>127</v>
      </c>
      <c r="FG39">
        <v>195</v>
      </c>
      <c r="FH39" s="3">
        <f t="shared" si="64"/>
        <v>151</v>
      </c>
      <c r="FI39" s="3">
        <f t="shared" si="65"/>
        <v>286</v>
      </c>
      <c r="FK39">
        <f>1+1</f>
        <v>2</v>
      </c>
      <c r="FL39">
        <f>6+11</f>
        <v>17</v>
      </c>
      <c r="FO39">
        <v>28</v>
      </c>
      <c r="FP39">
        <v>137</v>
      </c>
      <c r="FQ39" s="3">
        <f t="shared" si="66"/>
        <v>30</v>
      </c>
      <c r="FR39" s="3">
        <f t="shared" si="67"/>
        <v>154</v>
      </c>
      <c r="FT39">
        <f>1+4+1</f>
        <v>6</v>
      </c>
      <c r="FU39">
        <f>3+8+1</f>
        <v>12</v>
      </c>
      <c r="FX39">
        <v>8</v>
      </c>
      <c r="FY39">
        <v>25</v>
      </c>
      <c r="FZ39">
        <v>1</v>
      </c>
      <c r="GA39">
        <v>6</v>
      </c>
      <c r="GB39" s="3">
        <f t="shared" si="68"/>
        <v>15</v>
      </c>
      <c r="GC39" s="3">
        <f t="shared" si="69"/>
        <v>43</v>
      </c>
      <c r="GE39">
        <f>12+1</f>
        <v>13</v>
      </c>
      <c r="GF39">
        <f>13+2</f>
        <v>15</v>
      </c>
      <c r="GG39">
        <v>1</v>
      </c>
      <c r="GH39">
        <v>1</v>
      </c>
      <c r="GI39">
        <v>4</v>
      </c>
      <c r="GJ39">
        <v>2</v>
      </c>
      <c r="GK39">
        <v>346</v>
      </c>
      <c r="GL39">
        <v>966</v>
      </c>
      <c r="GO39">
        <v>13</v>
      </c>
      <c r="GP39">
        <v>27</v>
      </c>
      <c r="GQ39">
        <v>6</v>
      </c>
      <c r="GR39">
        <v>23</v>
      </c>
      <c r="GS39" s="3">
        <f t="shared" si="70"/>
        <v>383</v>
      </c>
      <c r="GT39" s="3">
        <f t="shared" si="71"/>
        <v>1034</v>
      </c>
      <c r="GU39" s="5">
        <f t="shared" si="72"/>
        <v>649</v>
      </c>
      <c r="GV39" s="5">
        <f t="shared" si="73"/>
        <v>1711</v>
      </c>
      <c r="GW39" s="10">
        <f t="shared" si="74"/>
        <v>2.6363636363636362</v>
      </c>
      <c r="HB39">
        <v>227</v>
      </c>
      <c r="HC39">
        <v>654</v>
      </c>
      <c r="HD39">
        <v>1</v>
      </c>
      <c r="HE39">
        <v>3</v>
      </c>
      <c r="HF39">
        <v>233</v>
      </c>
      <c r="HG39">
        <v>680</v>
      </c>
      <c r="HH39">
        <v>596</v>
      </c>
      <c r="HI39">
        <v>1084</v>
      </c>
      <c r="HJ39">
        <v>33</v>
      </c>
      <c r="HK39">
        <v>124</v>
      </c>
      <c r="HL39">
        <v>25</v>
      </c>
      <c r="HM39">
        <v>126</v>
      </c>
      <c r="HN39">
        <v>2</v>
      </c>
      <c r="HO39">
        <v>7</v>
      </c>
      <c r="HP39" s="3">
        <f t="shared" si="75"/>
        <v>1117</v>
      </c>
      <c r="HQ39" s="3">
        <f t="shared" si="76"/>
        <v>2678</v>
      </c>
      <c r="HT39">
        <v>1</v>
      </c>
      <c r="HU39">
        <v>16</v>
      </c>
      <c r="HV39">
        <v>176</v>
      </c>
      <c r="HW39">
        <v>383</v>
      </c>
      <c r="HX39">
        <v>61</v>
      </c>
      <c r="HY39">
        <v>186</v>
      </c>
      <c r="HZ39">
        <v>1</v>
      </c>
      <c r="IA39">
        <v>12</v>
      </c>
      <c r="IB39">
        <v>1</v>
      </c>
      <c r="IC39">
        <v>6</v>
      </c>
      <c r="ID39" s="3">
        <f t="shared" si="77"/>
        <v>240</v>
      </c>
      <c r="IE39" s="3">
        <f t="shared" si="78"/>
        <v>603</v>
      </c>
      <c r="IF39" s="3"/>
      <c r="IG39">
        <v>4</v>
      </c>
      <c r="IH39">
        <v>636</v>
      </c>
      <c r="II39">
        <v>14</v>
      </c>
      <c r="IJ39">
        <v>59</v>
      </c>
      <c r="IK39" s="3">
        <f t="shared" si="79"/>
        <v>18</v>
      </c>
      <c r="IL39" s="3">
        <f t="shared" si="80"/>
        <v>695</v>
      </c>
      <c r="IR39">
        <v>1</v>
      </c>
      <c r="IS39">
        <v>2</v>
      </c>
      <c r="IT39">
        <v>2</v>
      </c>
      <c r="IU39">
        <v>15</v>
      </c>
      <c r="IV39">
        <v>172</v>
      </c>
      <c r="IW39">
        <v>348</v>
      </c>
      <c r="IX39">
        <v>134</v>
      </c>
      <c r="IY39">
        <v>260</v>
      </c>
      <c r="IZ39">
        <v>8</v>
      </c>
      <c r="JA39">
        <v>37</v>
      </c>
      <c r="JB39">
        <v>16</v>
      </c>
      <c r="JC39">
        <v>36</v>
      </c>
      <c r="JD39">
        <v>2</v>
      </c>
      <c r="JE39">
        <v>2</v>
      </c>
      <c r="JF39" s="3">
        <f t="shared" si="81"/>
        <v>335</v>
      </c>
      <c r="JG39" s="3">
        <f t="shared" si="82"/>
        <v>700</v>
      </c>
      <c r="JI39" s="5">
        <f t="shared" si="83"/>
        <v>1710</v>
      </c>
      <c r="JJ39" s="5">
        <f t="shared" si="84"/>
        <v>4676</v>
      </c>
      <c r="JK39" s="10">
        <f t="shared" si="85"/>
        <v>2.7345029239766081</v>
      </c>
      <c r="JR39">
        <v>6</v>
      </c>
      <c r="JS39">
        <v>76</v>
      </c>
      <c r="JT39">
        <v>72</v>
      </c>
      <c r="JU39">
        <v>148</v>
      </c>
      <c r="JV39">
        <v>46</v>
      </c>
      <c r="JW39">
        <v>160</v>
      </c>
      <c r="JX39">
        <v>3</v>
      </c>
      <c r="JY39">
        <v>13</v>
      </c>
      <c r="JZ39">
        <v>2</v>
      </c>
      <c r="KA39">
        <v>2</v>
      </c>
      <c r="KB39">
        <v>10</v>
      </c>
      <c r="KC39">
        <v>24</v>
      </c>
      <c r="KD39">
        <v>1</v>
      </c>
      <c r="KE39">
        <v>2</v>
      </c>
      <c r="KF39" s="3">
        <f t="shared" si="86"/>
        <v>140</v>
      </c>
      <c r="KG39" s="3">
        <f t="shared" si="87"/>
        <v>425</v>
      </c>
      <c r="KJ39">
        <f>2+2+1</f>
        <v>5</v>
      </c>
      <c r="KK39">
        <f>4+4+2</f>
        <v>10</v>
      </c>
      <c r="KL39">
        <v>2</v>
      </c>
      <c r="KM39">
        <v>24</v>
      </c>
      <c r="KP39" s="3">
        <f t="shared" si="88"/>
        <v>7</v>
      </c>
      <c r="KQ39" s="3">
        <f t="shared" si="89"/>
        <v>34</v>
      </c>
      <c r="KS39" s="5">
        <f t="shared" si="90"/>
        <v>147</v>
      </c>
      <c r="KT39" s="5">
        <f t="shared" si="91"/>
        <v>459</v>
      </c>
      <c r="KU39" s="10">
        <f t="shared" si="92"/>
        <v>3.1224489795918369</v>
      </c>
      <c r="KW39" s="5">
        <f t="shared" si="93"/>
        <v>4411</v>
      </c>
      <c r="KX39" s="5">
        <f t="shared" si="94"/>
        <v>16461</v>
      </c>
      <c r="KY39" s="10">
        <f t="shared" si="95"/>
        <v>3.7318068465200636</v>
      </c>
      <c r="LA39" s="17" t="s">
        <v>327</v>
      </c>
      <c r="LB39">
        <v>386306</v>
      </c>
      <c r="LD39" s="11">
        <f t="shared" si="96"/>
        <v>11.418409240343147</v>
      </c>
      <c r="LE39" s="11">
        <f t="shared" si="97"/>
        <v>42.611297779480516</v>
      </c>
    </row>
    <row r="40" spans="1:319" ht="15.75" x14ac:dyDescent="0.25">
      <c r="A40" s="22" t="s">
        <v>395</v>
      </c>
      <c r="B40" s="24" t="s">
        <v>328</v>
      </c>
      <c r="C40" s="1"/>
      <c r="D40" s="1"/>
      <c r="G40">
        <f>19+1</f>
        <v>20</v>
      </c>
      <c r="H40">
        <f>59+12</f>
        <v>71</v>
      </c>
      <c r="L40">
        <v>183</v>
      </c>
      <c r="M40">
        <v>312</v>
      </c>
      <c r="N40" s="3">
        <f t="shared" si="29"/>
        <v>183</v>
      </c>
      <c r="O40" s="3">
        <f t="shared" si="30"/>
        <v>312</v>
      </c>
      <c r="P40" s="5">
        <f t="shared" si="31"/>
        <v>203</v>
      </c>
      <c r="Q40" s="5">
        <f t="shared" si="32"/>
        <v>383</v>
      </c>
      <c r="R40" s="10">
        <f t="shared" si="33"/>
        <v>1.8866995073891626</v>
      </c>
      <c r="U40">
        <f>1+2+2+6+1</f>
        <v>12</v>
      </c>
      <c r="V40">
        <f>141+165+3+8+2</f>
        <v>319</v>
      </c>
      <c r="W40">
        <f>187+156</f>
        <v>343</v>
      </c>
      <c r="X40">
        <f>379+250</f>
        <v>629</v>
      </c>
      <c r="Y40">
        <v>36</v>
      </c>
      <c r="Z40">
        <v>119</v>
      </c>
      <c r="AA40" s="3">
        <f t="shared" si="34"/>
        <v>391</v>
      </c>
      <c r="AB40" s="3">
        <f t="shared" si="35"/>
        <v>1067</v>
      </c>
      <c r="AD40">
        <v>13</v>
      </c>
      <c r="AE40">
        <v>114</v>
      </c>
      <c r="AF40">
        <v>9</v>
      </c>
      <c r="AG40">
        <v>51</v>
      </c>
      <c r="AI40">
        <f>5+1+3</f>
        <v>9</v>
      </c>
      <c r="AJ40">
        <f>17+5+7</f>
        <v>29</v>
      </c>
      <c r="AK40">
        <v>13</v>
      </c>
      <c r="AL40">
        <v>34</v>
      </c>
      <c r="AM40" s="3">
        <f t="shared" si="36"/>
        <v>22</v>
      </c>
      <c r="AN40" s="3">
        <f t="shared" si="37"/>
        <v>63</v>
      </c>
      <c r="AP40" s="5">
        <f t="shared" si="38"/>
        <v>435</v>
      </c>
      <c r="AQ40" s="5">
        <f t="shared" si="39"/>
        <v>1295</v>
      </c>
      <c r="AR40" s="10">
        <f t="shared" si="40"/>
        <v>2.9770114942528734</v>
      </c>
      <c r="AU40">
        <f>13+1</f>
        <v>14</v>
      </c>
      <c r="AV40">
        <f>34+2</f>
        <v>36</v>
      </c>
      <c r="AW40">
        <v>40</v>
      </c>
      <c r="AX40">
        <v>507</v>
      </c>
      <c r="AY40" s="3">
        <f t="shared" si="41"/>
        <v>54</v>
      </c>
      <c r="AZ40" s="3">
        <f t="shared" si="42"/>
        <v>543</v>
      </c>
      <c r="BB40">
        <v>2</v>
      </c>
      <c r="BC40">
        <v>235</v>
      </c>
      <c r="BD40">
        <f>2+2</f>
        <v>4</v>
      </c>
      <c r="BE40">
        <f>4+8</f>
        <v>12</v>
      </c>
      <c r="BF40" s="13">
        <f t="shared" si="43"/>
        <v>60</v>
      </c>
      <c r="BG40" s="13">
        <f t="shared" si="44"/>
        <v>790</v>
      </c>
      <c r="BH40" s="10">
        <f t="shared" si="45"/>
        <v>13.166666666666666</v>
      </c>
      <c r="BI40" s="10"/>
      <c r="BK40">
        <v>6</v>
      </c>
      <c r="BL40">
        <v>46</v>
      </c>
      <c r="BM40">
        <v>17</v>
      </c>
      <c r="BN40">
        <v>219</v>
      </c>
      <c r="BO40" s="14">
        <f t="shared" si="46"/>
        <v>23</v>
      </c>
      <c r="BP40" s="14">
        <f t="shared" si="47"/>
        <v>265</v>
      </c>
      <c r="BR40">
        <f>3+1</f>
        <v>4</v>
      </c>
      <c r="BS40">
        <f>22+13</f>
        <v>35</v>
      </c>
      <c r="BT40">
        <v>18</v>
      </c>
      <c r="BU40">
        <v>103</v>
      </c>
      <c r="BX40" s="14">
        <f t="shared" si="48"/>
        <v>22</v>
      </c>
      <c r="BY40" s="14">
        <f t="shared" si="49"/>
        <v>138</v>
      </c>
      <c r="CC40">
        <f>2+1+1+2</f>
        <v>6</v>
      </c>
      <c r="CD40">
        <f>2+2+3+4</f>
        <v>11</v>
      </c>
      <c r="CE40" s="13">
        <f t="shared" si="50"/>
        <v>51</v>
      </c>
      <c r="CF40" s="13">
        <f t="shared" si="51"/>
        <v>414</v>
      </c>
      <c r="CG40" s="10">
        <f t="shared" si="52"/>
        <v>8.117647058823529</v>
      </c>
      <c r="CH40" s="10"/>
      <c r="CJ40">
        <f>8+13</f>
        <v>21</v>
      </c>
      <c r="CK40">
        <f>19+8</f>
        <v>27</v>
      </c>
      <c r="CL40">
        <v>7</v>
      </c>
      <c r="CM40">
        <v>20</v>
      </c>
      <c r="CN40" s="14">
        <f t="shared" si="53"/>
        <v>28</v>
      </c>
      <c r="CO40" s="14">
        <f t="shared" si="54"/>
        <v>47</v>
      </c>
      <c r="CP40" s="12"/>
      <c r="CT40">
        <v>641</v>
      </c>
      <c r="CU40">
        <v>2666</v>
      </c>
      <c r="CX40">
        <f>55+51</f>
        <v>106</v>
      </c>
      <c r="CY40">
        <f>407+314</f>
        <v>721</v>
      </c>
      <c r="DJ40">
        <v>7</v>
      </c>
      <c r="DK40">
        <v>21</v>
      </c>
      <c r="DT40">
        <v>6</v>
      </c>
      <c r="DU40">
        <v>28</v>
      </c>
      <c r="DV40" s="3">
        <f t="shared" si="55"/>
        <v>760</v>
      </c>
      <c r="DW40" s="3">
        <f t="shared" si="56"/>
        <v>3436</v>
      </c>
      <c r="DY40">
        <v>33</v>
      </c>
      <c r="DZ40">
        <v>448</v>
      </c>
      <c r="EG40">
        <v>132</v>
      </c>
      <c r="EH40">
        <v>2051</v>
      </c>
      <c r="EI40">
        <v>1</v>
      </c>
      <c r="EJ40">
        <v>12</v>
      </c>
      <c r="EK40" s="3">
        <f t="shared" si="57"/>
        <v>166</v>
      </c>
      <c r="EL40" s="3">
        <f t="shared" si="58"/>
        <v>2511</v>
      </c>
      <c r="EM40" s="5">
        <f t="shared" si="59"/>
        <v>954</v>
      </c>
      <c r="EN40" s="5">
        <f t="shared" si="60"/>
        <v>5994</v>
      </c>
      <c r="EO40" s="10">
        <f t="shared" si="61"/>
        <v>6.283018867924528</v>
      </c>
      <c r="EU40">
        <f>4+3</f>
        <v>7</v>
      </c>
      <c r="EV40">
        <f>5+5</f>
        <v>10</v>
      </c>
      <c r="EW40">
        <v>13</v>
      </c>
      <c r="EX40">
        <v>23</v>
      </c>
      <c r="EY40" s="3">
        <f t="shared" si="62"/>
        <v>20</v>
      </c>
      <c r="EZ40" s="3">
        <f t="shared" si="63"/>
        <v>33</v>
      </c>
      <c r="FB40">
        <v>2</v>
      </c>
      <c r="FC40">
        <v>10</v>
      </c>
      <c r="FD40">
        <v>27</v>
      </c>
      <c r="FE40">
        <v>77</v>
      </c>
      <c r="FF40">
        <v>70</v>
      </c>
      <c r="FG40">
        <v>117</v>
      </c>
      <c r="FH40" s="3">
        <f t="shared" si="64"/>
        <v>99</v>
      </c>
      <c r="FI40" s="3">
        <f t="shared" si="65"/>
        <v>204</v>
      </c>
      <c r="FK40">
        <f>2+1</f>
        <v>3</v>
      </c>
      <c r="FL40">
        <f>23+7</f>
        <v>30</v>
      </c>
      <c r="FO40">
        <v>55</v>
      </c>
      <c r="FP40">
        <v>317</v>
      </c>
      <c r="FQ40" s="3">
        <f t="shared" si="66"/>
        <v>58</v>
      </c>
      <c r="FR40" s="3">
        <f t="shared" si="67"/>
        <v>347</v>
      </c>
      <c r="FT40">
        <f>4+1+2</f>
        <v>7</v>
      </c>
      <c r="FU40">
        <f>11+5+4</f>
        <v>20</v>
      </c>
      <c r="FX40">
        <v>4</v>
      </c>
      <c r="FY40">
        <v>13</v>
      </c>
      <c r="FZ40">
        <v>1</v>
      </c>
      <c r="GA40">
        <v>5</v>
      </c>
      <c r="GB40" s="3">
        <f t="shared" si="68"/>
        <v>12</v>
      </c>
      <c r="GC40" s="3">
        <f t="shared" si="69"/>
        <v>38</v>
      </c>
      <c r="GE40">
        <v>4</v>
      </c>
      <c r="GF40">
        <v>8</v>
      </c>
      <c r="GG40">
        <v>2</v>
      </c>
      <c r="GH40">
        <v>7</v>
      </c>
      <c r="GI40">
        <v>20</v>
      </c>
      <c r="GJ40">
        <v>42</v>
      </c>
      <c r="GK40">
        <v>200</v>
      </c>
      <c r="GL40">
        <v>604</v>
      </c>
      <c r="GO40">
        <v>9</v>
      </c>
      <c r="GP40">
        <v>34</v>
      </c>
      <c r="GQ40">
        <v>14</v>
      </c>
      <c r="GR40">
        <v>43</v>
      </c>
      <c r="GS40" s="3">
        <f t="shared" si="70"/>
        <v>249</v>
      </c>
      <c r="GT40" s="3">
        <f t="shared" si="71"/>
        <v>738</v>
      </c>
      <c r="GU40" s="5">
        <f t="shared" si="72"/>
        <v>438</v>
      </c>
      <c r="GV40" s="5">
        <f t="shared" si="73"/>
        <v>1360</v>
      </c>
      <c r="GW40" s="10">
        <f t="shared" si="74"/>
        <v>3.1050228310502281</v>
      </c>
      <c r="GZ40">
        <v>3</v>
      </c>
      <c r="HA40">
        <v>10</v>
      </c>
      <c r="HB40">
        <v>73</v>
      </c>
      <c r="HC40">
        <v>406</v>
      </c>
      <c r="HD40">
        <v>5</v>
      </c>
      <c r="HE40">
        <v>8</v>
      </c>
      <c r="HF40">
        <v>186</v>
      </c>
      <c r="HG40">
        <v>440</v>
      </c>
      <c r="HH40">
        <v>300</v>
      </c>
      <c r="HI40">
        <v>693</v>
      </c>
      <c r="HJ40">
        <v>24</v>
      </c>
      <c r="HK40">
        <v>77</v>
      </c>
      <c r="HL40">
        <v>16</v>
      </c>
      <c r="HM40">
        <v>54</v>
      </c>
      <c r="HN40">
        <v>4</v>
      </c>
      <c r="HO40">
        <v>11</v>
      </c>
      <c r="HP40" s="3">
        <f t="shared" si="75"/>
        <v>611</v>
      </c>
      <c r="HQ40" s="3">
        <f t="shared" si="76"/>
        <v>1699</v>
      </c>
      <c r="HV40">
        <v>60</v>
      </c>
      <c r="HW40">
        <v>172</v>
      </c>
      <c r="HX40">
        <v>39</v>
      </c>
      <c r="HY40">
        <v>92</v>
      </c>
      <c r="IB40">
        <v>1</v>
      </c>
      <c r="IC40">
        <v>2</v>
      </c>
      <c r="ID40" s="3">
        <f t="shared" si="77"/>
        <v>100</v>
      </c>
      <c r="IE40" s="3">
        <f t="shared" si="78"/>
        <v>266</v>
      </c>
      <c r="IF40" s="3"/>
      <c r="IG40">
        <v>7</v>
      </c>
      <c r="IH40">
        <v>106</v>
      </c>
      <c r="II40">
        <v>10</v>
      </c>
      <c r="IJ40">
        <v>44</v>
      </c>
      <c r="IK40" s="3">
        <f t="shared" si="79"/>
        <v>17</v>
      </c>
      <c r="IL40" s="3">
        <f t="shared" si="80"/>
        <v>150</v>
      </c>
      <c r="IR40">
        <v>1</v>
      </c>
      <c r="IS40">
        <v>13</v>
      </c>
      <c r="IT40">
        <v>142</v>
      </c>
      <c r="IU40">
        <v>2115</v>
      </c>
      <c r="IV40">
        <v>87</v>
      </c>
      <c r="IW40">
        <v>242</v>
      </c>
      <c r="IX40">
        <v>50</v>
      </c>
      <c r="IY40">
        <v>110</v>
      </c>
      <c r="IZ40">
        <v>9</v>
      </c>
      <c r="JA40">
        <v>26</v>
      </c>
      <c r="JD40">
        <v>3</v>
      </c>
      <c r="JE40">
        <v>1</v>
      </c>
      <c r="JF40" s="3">
        <f t="shared" si="81"/>
        <v>292</v>
      </c>
      <c r="JG40" s="3">
        <f t="shared" si="82"/>
        <v>2507</v>
      </c>
      <c r="JI40" s="5">
        <f t="shared" si="83"/>
        <v>1020</v>
      </c>
      <c r="JJ40" s="5">
        <f t="shared" si="84"/>
        <v>4622</v>
      </c>
      <c r="JK40" s="10">
        <f t="shared" si="85"/>
        <v>4.5313725490196077</v>
      </c>
      <c r="JR40">
        <v>4</v>
      </c>
      <c r="JS40">
        <v>49</v>
      </c>
      <c r="JT40">
        <v>6</v>
      </c>
      <c r="JU40">
        <v>26</v>
      </c>
      <c r="JV40">
        <v>14</v>
      </c>
      <c r="JW40">
        <v>60</v>
      </c>
      <c r="KB40">
        <v>2</v>
      </c>
      <c r="KC40">
        <v>8</v>
      </c>
      <c r="KF40" s="3">
        <f t="shared" si="86"/>
        <v>26</v>
      </c>
      <c r="KG40" s="3">
        <f t="shared" si="87"/>
        <v>143</v>
      </c>
      <c r="KJ40">
        <v>1</v>
      </c>
      <c r="KK40">
        <v>4</v>
      </c>
      <c r="KP40" s="3">
        <f t="shared" si="88"/>
        <v>1</v>
      </c>
      <c r="KQ40" s="3">
        <f t="shared" si="89"/>
        <v>4</v>
      </c>
      <c r="KS40" s="5">
        <f t="shared" si="90"/>
        <v>27</v>
      </c>
      <c r="KT40" s="5">
        <f t="shared" si="91"/>
        <v>147</v>
      </c>
      <c r="KU40" s="10">
        <f t="shared" si="92"/>
        <v>5.4444444444444446</v>
      </c>
      <c r="KW40" s="5">
        <f t="shared" si="93"/>
        <v>3188</v>
      </c>
      <c r="KX40" s="5">
        <f t="shared" si="94"/>
        <v>15005</v>
      </c>
      <c r="KY40" s="10">
        <f t="shared" si="95"/>
        <v>4.7067126725219577</v>
      </c>
      <c r="LA40" s="15" t="s">
        <v>329</v>
      </c>
      <c r="LB40">
        <v>394021</v>
      </c>
      <c r="LD40" s="11">
        <f t="shared" si="96"/>
        <v>8.0909393154171987</v>
      </c>
      <c r="LE40" s="11">
        <f t="shared" si="97"/>
        <v>38.081726608480253</v>
      </c>
      <c r="LG40" s="10"/>
    </row>
    <row r="41" spans="1:319" ht="15.75" x14ac:dyDescent="0.25">
      <c r="A41" s="22" t="s">
        <v>396</v>
      </c>
      <c r="B41" s="24" t="s">
        <v>330</v>
      </c>
      <c r="C41" s="1"/>
      <c r="D41" s="1"/>
      <c r="E41">
        <v>4</v>
      </c>
      <c r="F41">
        <v>7</v>
      </c>
      <c r="G41">
        <f>13+4+1+1+3+1</f>
        <v>23</v>
      </c>
      <c r="H41">
        <f>106+21+7+11+26+2</f>
        <v>173</v>
      </c>
      <c r="L41">
        <v>70</v>
      </c>
      <c r="M41">
        <v>192</v>
      </c>
      <c r="N41" s="3">
        <f t="shared" si="29"/>
        <v>70</v>
      </c>
      <c r="O41" s="3">
        <f t="shared" si="30"/>
        <v>192</v>
      </c>
      <c r="P41" s="5">
        <f t="shared" si="31"/>
        <v>97</v>
      </c>
      <c r="Q41" s="5">
        <f t="shared" si="32"/>
        <v>372</v>
      </c>
      <c r="R41" s="10">
        <f t="shared" si="33"/>
        <v>3.8350515463917527</v>
      </c>
      <c r="U41">
        <f>26+8+3+5+1+1+1</f>
        <v>45</v>
      </c>
      <c r="V41">
        <f>7443+11+11+14+2+44+12</f>
        <v>7537</v>
      </c>
      <c r="W41">
        <f>474+5</f>
        <v>479</v>
      </c>
      <c r="X41">
        <f>1289+9</f>
        <v>1298</v>
      </c>
      <c r="Y41">
        <v>63</v>
      </c>
      <c r="Z41">
        <v>354</v>
      </c>
      <c r="AA41" s="3">
        <f t="shared" si="34"/>
        <v>587</v>
      </c>
      <c r="AB41" s="3">
        <f t="shared" si="35"/>
        <v>9189</v>
      </c>
      <c r="AD41">
        <v>16</v>
      </c>
      <c r="AE41">
        <v>103</v>
      </c>
      <c r="AF41">
        <v>14</v>
      </c>
      <c r="AG41">
        <v>100</v>
      </c>
      <c r="AI41">
        <f>3+4+5</f>
        <v>12</v>
      </c>
      <c r="AJ41">
        <f>23+19+38</f>
        <v>80</v>
      </c>
      <c r="AK41">
        <v>19</v>
      </c>
      <c r="AL41">
        <v>134</v>
      </c>
      <c r="AM41" s="3">
        <f t="shared" si="36"/>
        <v>31</v>
      </c>
      <c r="AN41" s="3">
        <f t="shared" si="37"/>
        <v>214</v>
      </c>
      <c r="AP41" s="5">
        <f t="shared" si="38"/>
        <v>648</v>
      </c>
      <c r="AQ41" s="5">
        <f t="shared" si="39"/>
        <v>9606</v>
      </c>
      <c r="AR41" s="10">
        <f t="shared" si="40"/>
        <v>14.824074074074074</v>
      </c>
      <c r="AU41">
        <f>1+1+1</f>
        <v>3</v>
      </c>
      <c r="AV41">
        <f>4+10+21</f>
        <v>35</v>
      </c>
      <c r="AW41">
        <v>41</v>
      </c>
      <c r="AX41">
        <v>119</v>
      </c>
      <c r="AY41" s="3">
        <f t="shared" si="41"/>
        <v>44</v>
      </c>
      <c r="AZ41" s="3">
        <f t="shared" si="42"/>
        <v>154</v>
      </c>
      <c r="BD41">
        <f>1+17</f>
        <v>18</v>
      </c>
      <c r="BE41">
        <f>60+59</f>
        <v>119</v>
      </c>
      <c r="BF41" s="13">
        <f t="shared" si="43"/>
        <v>62</v>
      </c>
      <c r="BG41" s="13">
        <f t="shared" si="44"/>
        <v>273</v>
      </c>
      <c r="BH41" s="10">
        <f t="shared" si="45"/>
        <v>4.403225806451613</v>
      </c>
      <c r="BI41" s="10"/>
      <c r="BM41">
        <v>13</v>
      </c>
      <c r="BN41">
        <v>206</v>
      </c>
      <c r="BO41" s="14">
        <f t="shared" si="46"/>
        <v>13</v>
      </c>
      <c r="BP41" s="14">
        <f t="shared" si="47"/>
        <v>206</v>
      </c>
      <c r="BR41">
        <f>4+27+4+1</f>
        <v>36</v>
      </c>
      <c r="BS41">
        <f>34+145+18+2</f>
        <v>199</v>
      </c>
      <c r="BT41">
        <v>30</v>
      </c>
      <c r="BU41">
        <v>335</v>
      </c>
      <c r="BV41">
        <v>1</v>
      </c>
      <c r="BW41">
        <v>179</v>
      </c>
      <c r="BX41" s="14">
        <f t="shared" si="48"/>
        <v>67</v>
      </c>
      <c r="BY41" s="14">
        <f t="shared" si="49"/>
        <v>713</v>
      </c>
      <c r="CA41">
        <v>1</v>
      </c>
      <c r="CB41">
        <v>12</v>
      </c>
      <c r="CE41" s="13">
        <f t="shared" si="50"/>
        <v>81</v>
      </c>
      <c r="CF41" s="13">
        <f t="shared" si="51"/>
        <v>931</v>
      </c>
      <c r="CG41" s="10">
        <f t="shared" si="52"/>
        <v>11.493827160493828</v>
      </c>
      <c r="CH41" s="10"/>
      <c r="CJ41">
        <v>4</v>
      </c>
      <c r="CK41">
        <v>55</v>
      </c>
      <c r="CL41">
        <v>6</v>
      </c>
      <c r="CM41">
        <v>29</v>
      </c>
      <c r="CN41" s="14">
        <f t="shared" si="53"/>
        <v>10</v>
      </c>
      <c r="CO41" s="14">
        <f t="shared" si="54"/>
        <v>84</v>
      </c>
      <c r="CP41" s="12"/>
      <c r="CT41">
        <v>143</v>
      </c>
      <c r="CU41">
        <v>3632</v>
      </c>
      <c r="CX41">
        <v>25</v>
      </c>
      <c r="CY41">
        <v>264</v>
      </c>
      <c r="DJ41">
        <v>8</v>
      </c>
      <c r="DK41">
        <v>112</v>
      </c>
      <c r="DT41">
        <v>11</v>
      </c>
      <c r="DU41">
        <v>104</v>
      </c>
      <c r="DV41" s="3">
        <f t="shared" si="55"/>
        <v>187</v>
      </c>
      <c r="DW41" s="3">
        <f t="shared" si="56"/>
        <v>4112</v>
      </c>
      <c r="DY41">
        <v>2</v>
      </c>
      <c r="DZ41">
        <v>77</v>
      </c>
      <c r="EG41">
        <v>17</v>
      </c>
      <c r="EH41">
        <v>370</v>
      </c>
      <c r="EI41">
        <v>7</v>
      </c>
      <c r="EJ41">
        <v>39</v>
      </c>
      <c r="EK41" s="3">
        <f t="shared" si="57"/>
        <v>26</v>
      </c>
      <c r="EL41" s="3">
        <f t="shared" si="58"/>
        <v>486</v>
      </c>
      <c r="EM41" s="5">
        <f t="shared" si="59"/>
        <v>223</v>
      </c>
      <c r="EN41" s="5">
        <f t="shared" si="60"/>
        <v>4682</v>
      </c>
      <c r="EO41" s="10">
        <f t="shared" si="61"/>
        <v>20.995515695067265</v>
      </c>
      <c r="EW41">
        <v>44</v>
      </c>
      <c r="EX41">
        <v>128</v>
      </c>
      <c r="EY41" s="3">
        <f t="shared" si="62"/>
        <v>44</v>
      </c>
      <c r="EZ41" s="3">
        <f t="shared" si="63"/>
        <v>128</v>
      </c>
      <c r="FD41">
        <v>22</v>
      </c>
      <c r="FE41">
        <v>72</v>
      </c>
      <c r="FF41">
        <v>17</v>
      </c>
      <c r="FG41">
        <v>38</v>
      </c>
      <c r="FH41" s="3">
        <f t="shared" si="64"/>
        <v>39</v>
      </c>
      <c r="FI41" s="3">
        <f t="shared" si="65"/>
        <v>110</v>
      </c>
      <c r="FK41">
        <v>3</v>
      </c>
      <c r="FL41">
        <v>15</v>
      </c>
      <c r="FO41">
        <v>37</v>
      </c>
      <c r="FP41">
        <v>195</v>
      </c>
      <c r="FQ41" s="3">
        <f t="shared" si="66"/>
        <v>40</v>
      </c>
      <c r="FR41" s="3">
        <f t="shared" si="67"/>
        <v>210</v>
      </c>
      <c r="FT41">
        <f>2+13</f>
        <v>15</v>
      </c>
      <c r="FU41">
        <f>7+60</f>
        <v>67</v>
      </c>
      <c r="FX41">
        <v>4</v>
      </c>
      <c r="FY41">
        <v>18</v>
      </c>
      <c r="FZ41">
        <v>7</v>
      </c>
      <c r="GA41">
        <v>57</v>
      </c>
      <c r="GB41" s="3">
        <f t="shared" si="68"/>
        <v>26</v>
      </c>
      <c r="GC41" s="3">
        <f t="shared" si="69"/>
        <v>142</v>
      </c>
      <c r="GG41">
        <v>1</v>
      </c>
      <c r="GH41">
        <v>1</v>
      </c>
      <c r="GI41">
        <v>49</v>
      </c>
      <c r="GJ41">
        <v>51</v>
      </c>
      <c r="GK41">
        <v>386</v>
      </c>
      <c r="GL41">
        <v>1252</v>
      </c>
      <c r="GM41">
        <v>53</v>
      </c>
      <c r="GN41">
        <v>100</v>
      </c>
      <c r="GO41">
        <v>7</v>
      </c>
      <c r="GP41">
        <v>45</v>
      </c>
      <c r="GQ41">
        <v>5</v>
      </c>
      <c r="GR41">
        <v>17</v>
      </c>
      <c r="GS41" s="3">
        <f t="shared" si="70"/>
        <v>501</v>
      </c>
      <c r="GT41" s="3">
        <f t="shared" si="71"/>
        <v>1466</v>
      </c>
      <c r="GU41" s="5">
        <f t="shared" si="72"/>
        <v>650</v>
      </c>
      <c r="GV41" s="5">
        <f t="shared" si="73"/>
        <v>2056</v>
      </c>
      <c r="GW41" s="10">
        <f t="shared" si="74"/>
        <v>3.1630769230769231</v>
      </c>
      <c r="GZ41">
        <v>1</v>
      </c>
      <c r="HA41">
        <v>88</v>
      </c>
      <c r="HB41">
        <v>150</v>
      </c>
      <c r="HC41">
        <v>655</v>
      </c>
      <c r="HD41">
        <v>12</v>
      </c>
      <c r="HE41">
        <v>36</v>
      </c>
      <c r="HF41">
        <v>272</v>
      </c>
      <c r="HG41">
        <v>765</v>
      </c>
      <c r="HH41">
        <v>89</v>
      </c>
      <c r="HI41">
        <v>488</v>
      </c>
      <c r="HJ41">
        <v>26</v>
      </c>
      <c r="HK41">
        <v>108</v>
      </c>
      <c r="HL41">
        <v>24</v>
      </c>
      <c r="HM41">
        <v>102</v>
      </c>
      <c r="HN41">
        <v>4</v>
      </c>
      <c r="HO41">
        <v>64</v>
      </c>
      <c r="HP41" s="3">
        <f t="shared" si="75"/>
        <v>578</v>
      </c>
      <c r="HQ41" s="3">
        <f t="shared" si="76"/>
        <v>2306</v>
      </c>
      <c r="HV41">
        <v>80</v>
      </c>
      <c r="HW41">
        <v>225</v>
      </c>
      <c r="HX41">
        <v>32</v>
      </c>
      <c r="HY41">
        <v>193</v>
      </c>
      <c r="IB41">
        <v>3</v>
      </c>
      <c r="IC41">
        <v>22</v>
      </c>
      <c r="ID41" s="3">
        <f t="shared" si="77"/>
        <v>115</v>
      </c>
      <c r="IE41" s="3">
        <f t="shared" si="78"/>
        <v>440</v>
      </c>
      <c r="IF41" s="3"/>
      <c r="IG41">
        <v>14</v>
      </c>
      <c r="IH41">
        <v>528</v>
      </c>
      <c r="II41">
        <v>8</v>
      </c>
      <c r="IJ41">
        <v>11</v>
      </c>
      <c r="IK41" s="3">
        <f t="shared" si="79"/>
        <v>22</v>
      </c>
      <c r="IL41" s="3">
        <f t="shared" si="80"/>
        <v>539</v>
      </c>
      <c r="IR41">
        <v>1</v>
      </c>
      <c r="IS41">
        <v>2</v>
      </c>
      <c r="IT41">
        <v>36</v>
      </c>
      <c r="IU41">
        <v>758</v>
      </c>
      <c r="IV41">
        <v>182</v>
      </c>
      <c r="IW41">
        <v>659</v>
      </c>
      <c r="IX41">
        <v>33</v>
      </c>
      <c r="IY41">
        <v>120</v>
      </c>
      <c r="IZ41">
        <v>10</v>
      </c>
      <c r="JA41">
        <v>27</v>
      </c>
      <c r="JB41">
        <v>4</v>
      </c>
      <c r="JC41">
        <v>12</v>
      </c>
      <c r="JF41" s="3">
        <f t="shared" si="81"/>
        <v>266</v>
      </c>
      <c r="JG41" s="3">
        <f t="shared" si="82"/>
        <v>1578</v>
      </c>
      <c r="JI41" s="5">
        <f t="shared" si="83"/>
        <v>981</v>
      </c>
      <c r="JJ41" s="5">
        <f t="shared" si="84"/>
        <v>4863</v>
      </c>
      <c r="JK41" s="10">
        <f t="shared" si="85"/>
        <v>4.957186544342508</v>
      </c>
      <c r="JT41">
        <v>207</v>
      </c>
      <c r="JU41">
        <v>430</v>
      </c>
      <c r="JV41">
        <v>137</v>
      </c>
      <c r="JW41">
        <v>321</v>
      </c>
      <c r="JX41">
        <v>2</v>
      </c>
      <c r="JY41">
        <v>4</v>
      </c>
      <c r="KB41">
        <v>6</v>
      </c>
      <c r="KC41">
        <v>11</v>
      </c>
      <c r="KD41">
        <v>7</v>
      </c>
      <c r="KE41">
        <v>27</v>
      </c>
      <c r="KF41" s="3">
        <f t="shared" si="86"/>
        <v>359</v>
      </c>
      <c r="KG41" s="3">
        <f t="shared" si="87"/>
        <v>793</v>
      </c>
      <c r="KJ41">
        <f>1+3+2</f>
        <v>6</v>
      </c>
      <c r="KK41">
        <f>8+19+7</f>
        <v>34</v>
      </c>
      <c r="KN41">
        <v>1</v>
      </c>
      <c r="KO41">
        <v>3</v>
      </c>
      <c r="KP41" s="3">
        <f t="shared" si="88"/>
        <v>7</v>
      </c>
      <c r="KQ41" s="3">
        <f t="shared" si="89"/>
        <v>37</v>
      </c>
      <c r="KS41" s="5">
        <f t="shared" si="90"/>
        <v>366</v>
      </c>
      <c r="KT41" s="5">
        <f t="shared" si="91"/>
        <v>830</v>
      </c>
      <c r="KU41" s="10">
        <f t="shared" si="92"/>
        <v>2.2677595628415301</v>
      </c>
      <c r="KW41" s="5">
        <f t="shared" si="93"/>
        <v>3108</v>
      </c>
      <c r="KX41" s="5">
        <f t="shared" si="94"/>
        <v>23613</v>
      </c>
      <c r="KY41" s="10">
        <f t="shared" si="95"/>
        <v>7.5974903474903472</v>
      </c>
      <c r="LA41" s="15" t="s">
        <v>330</v>
      </c>
      <c r="LB41">
        <v>324376</v>
      </c>
      <c r="LD41" s="11">
        <f t="shared" si="96"/>
        <v>9.5814733519125941</v>
      </c>
      <c r="LE41" s="11">
        <f t="shared" si="97"/>
        <v>72.79515130589192</v>
      </c>
    </row>
    <row r="42" spans="1:319" ht="15.75" x14ac:dyDescent="0.25">
      <c r="A42" s="22" t="s">
        <v>397</v>
      </c>
      <c r="B42" s="24" t="s">
        <v>331</v>
      </c>
      <c r="C42" s="1"/>
      <c r="D42" s="1"/>
      <c r="E42">
        <v>1</v>
      </c>
      <c r="F42">
        <v>12</v>
      </c>
      <c r="G42">
        <v>8</v>
      </c>
      <c r="H42">
        <v>30</v>
      </c>
      <c r="L42">
        <v>42</v>
      </c>
      <c r="M42">
        <v>93</v>
      </c>
      <c r="N42" s="3">
        <f t="shared" si="29"/>
        <v>42</v>
      </c>
      <c r="O42" s="3">
        <f t="shared" si="30"/>
        <v>93</v>
      </c>
      <c r="P42" s="5">
        <f t="shared" si="31"/>
        <v>51</v>
      </c>
      <c r="Q42" s="5">
        <f t="shared" si="32"/>
        <v>135</v>
      </c>
      <c r="R42" s="10">
        <f t="shared" si="33"/>
        <v>2.6470588235294117</v>
      </c>
      <c r="U42">
        <f>8+9+5+3+5+1</f>
        <v>31</v>
      </c>
      <c r="V42">
        <f>113+3055+25+6+10+2</f>
        <v>3211</v>
      </c>
      <c r="W42">
        <f>293+4</f>
        <v>297</v>
      </c>
      <c r="X42">
        <f>776+8</f>
        <v>784</v>
      </c>
      <c r="Y42">
        <v>37</v>
      </c>
      <c r="Z42">
        <v>155</v>
      </c>
      <c r="AA42" s="3">
        <f t="shared" si="34"/>
        <v>365</v>
      </c>
      <c r="AB42" s="3">
        <f t="shared" si="35"/>
        <v>4150</v>
      </c>
      <c r="AD42">
        <f>2+31</f>
        <v>33</v>
      </c>
      <c r="AE42">
        <f>290+97</f>
        <v>387</v>
      </c>
      <c r="AF42">
        <f>2+5</f>
        <v>7</v>
      </c>
      <c r="AG42">
        <f>23+49</f>
        <v>72</v>
      </c>
      <c r="AI42">
        <f>1+2+4</f>
        <v>7</v>
      </c>
      <c r="AJ42">
        <f>6+23+9</f>
        <v>38</v>
      </c>
      <c r="AK42">
        <v>16</v>
      </c>
      <c r="AL42">
        <v>53</v>
      </c>
      <c r="AM42" s="3">
        <f t="shared" si="36"/>
        <v>23</v>
      </c>
      <c r="AN42" s="3">
        <f t="shared" si="37"/>
        <v>91</v>
      </c>
      <c r="AP42" s="5">
        <f t="shared" si="38"/>
        <v>428</v>
      </c>
      <c r="AQ42" s="5">
        <f t="shared" si="39"/>
        <v>4700</v>
      </c>
      <c r="AR42" s="10">
        <f t="shared" si="40"/>
        <v>10.981308411214954</v>
      </c>
      <c r="AU42">
        <f>3+1</f>
        <v>4</v>
      </c>
      <c r="AV42">
        <f>22+32</f>
        <v>54</v>
      </c>
      <c r="AW42">
        <v>91</v>
      </c>
      <c r="AX42">
        <v>242</v>
      </c>
      <c r="AY42" s="3">
        <f t="shared" si="41"/>
        <v>95</v>
      </c>
      <c r="AZ42" s="3">
        <f t="shared" si="42"/>
        <v>296</v>
      </c>
      <c r="BD42">
        <v>3</v>
      </c>
      <c r="BE42">
        <v>30</v>
      </c>
      <c r="BF42" s="13">
        <f t="shared" si="43"/>
        <v>98</v>
      </c>
      <c r="BG42" s="13">
        <f t="shared" si="44"/>
        <v>326</v>
      </c>
      <c r="BH42" s="10">
        <f t="shared" si="45"/>
        <v>3.3265306122448979</v>
      </c>
      <c r="BI42" s="10"/>
      <c r="BK42">
        <v>1</v>
      </c>
      <c r="BL42">
        <v>2</v>
      </c>
      <c r="BM42">
        <v>26</v>
      </c>
      <c r="BN42">
        <v>388</v>
      </c>
      <c r="BO42" s="14">
        <f t="shared" si="46"/>
        <v>27</v>
      </c>
      <c r="BP42" s="14">
        <f t="shared" si="47"/>
        <v>390</v>
      </c>
      <c r="BR42">
        <v>1</v>
      </c>
      <c r="BS42">
        <v>1</v>
      </c>
      <c r="BT42">
        <v>40</v>
      </c>
      <c r="BU42">
        <v>292</v>
      </c>
      <c r="BX42" s="14">
        <f t="shared" si="48"/>
        <v>41</v>
      </c>
      <c r="BY42" s="14">
        <f t="shared" si="49"/>
        <v>293</v>
      </c>
      <c r="CC42">
        <v>1</v>
      </c>
      <c r="CD42">
        <v>2</v>
      </c>
      <c r="CE42" s="13">
        <f t="shared" si="50"/>
        <v>69</v>
      </c>
      <c r="CF42" s="13">
        <f t="shared" si="51"/>
        <v>685</v>
      </c>
      <c r="CG42" s="10">
        <f t="shared" si="52"/>
        <v>9.9275362318840585</v>
      </c>
      <c r="CH42" s="10"/>
      <c r="CL42">
        <v>9</v>
      </c>
      <c r="CM42">
        <v>43</v>
      </c>
      <c r="CN42" s="14">
        <f t="shared" si="53"/>
        <v>9</v>
      </c>
      <c r="CO42" s="14">
        <f t="shared" si="54"/>
        <v>43</v>
      </c>
      <c r="CP42" s="12"/>
      <c r="CT42">
        <v>256</v>
      </c>
      <c r="CU42">
        <v>584</v>
      </c>
      <c r="CV42">
        <v>1</v>
      </c>
      <c r="CW42">
        <v>1068</v>
      </c>
      <c r="CX42">
        <v>43</v>
      </c>
      <c r="CY42">
        <v>206</v>
      </c>
      <c r="DJ42">
        <v>4</v>
      </c>
      <c r="DK42">
        <v>68</v>
      </c>
      <c r="DT42">
        <v>37</v>
      </c>
      <c r="DU42">
        <v>110</v>
      </c>
      <c r="DV42" s="3">
        <f t="shared" si="55"/>
        <v>341</v>
      </c>
      <c r="DW42" s="3">
        <f t="shared" si="56"/>
        <v>2036</v>
      </c>
      <c r="DY42">
        <v>3</v>
      </c>
      <c r="DZ42">
        <v>13</v>
      </c>
      <c r="EG42">
        <v>94</v>
      </c>
      <c r="EH42">
        <v>259</v>
      </c>
      <c r="EI42">
        <v>4</v>
      </c>
      <c r="EJ42">
        <v>28</v>
      </c>
      <c r="EK42" s="3">
        <f t="shared" si="57"/>
        <v>101</v>
      </c>
      <c r="EL42" s="3">
        <f t="shared" si="58"/>
        <v>300</v>
      </c>
      <c r="EM42" s="5">
        <f t="shared" si="59"/>
        <v>451</v>
      </c>
      <c r="EN42" s="5">
        <f t="shared" si="60"/>
        <v>2379</v>
      </c>
      <c r="EO42" s="10">
        <f t="shared" si="61"/>
        <v>5.2749445676274949</v>
      </c>
      <c r="EU42">
        <v>3</v>
      </c>
      <c r="EV42">
        <v>6</v>
      </c>
      <c r="EW42">
        <v>8</v>
      </c>
      <c r="EX42">
        <v>28</v>
      </c>
      <c r="EY42" s="3">
        <f t="shared" si="62"/>
        <v>11</v>
      </c>
      <c r="EZ42" s="3">
        <f t="shared" si="63"/>
        <v>34</v>
      </c>
      <c r="FD42">
        <v>16</v>
      </c>
      <c r="FE42">
        <v>51</v>
      </c>
      <c r="FF42">
        <v>37</v>
      </c>
      <c r="FG42">
        <v>75</v>
      </c>
      <c r="FH42" s="3">
        <f t="shared" si="64"/>
        <v>53</v>
      </c>
      <c r="FI42" s="3">
        <f t="shared" si="65"/>
        <v>126</v>
      </c>
      <c r="FK42">
        <v>1</v>
      </c>
      <c r="FL42">
        <v>2</v>
      </c>
      <c r="FO42">
        <v>18</v>
      </c>
      <c r="FP42">
        <v>116</v>
      </c>
      <c r="FQ42" s="3">
        <f t="shared" si="66"/>
        <v>19</v>
      </c>
      <c r="FR42" s="3">
        <f t="shared" si="67"/>
        <v>118</v>
      </c>
      <c r="FT42">
        <v>30</v>
      </c>
      <c r="FU42">
        <v>96</v>
      </c>
      <c r="FZ42">
        <v>4</v>
      </c>
      <c r="GA42">
        <v>24</v>
      </c>
      <c r="GB42" s="3">
        <f t="shared" si="68"/>
        <v>34</v>
      </c>
      <c r="GC42" s="3">
        <f t="shared" si="69"/>
        <v>120</v>
      </c>
      <c r="GE42">
        <f>1+9</f>
        <v>10</v>
      </c>
      <c r="GF42">
        <f>3+19</f>
        <v>22</v>
      </c>
      <c r="GG42">
        <v>1</v>
      </c>
      <c r="GH42">
        <v>2</v>
      </c>
      <c r="GK42">
        <v>179</v>
      </c>
      <c r="GL42">
        <v>613</v>
      </c>
      <c r="GO42">
        <v>8</v>
      </c>
      <c r="GP42">
        <v>21</v>
      </c>
      <c r="GQ42">
        <v>3</v>
      </c>
      <c r="GR42">
        <v>9</v>
      </c>
      <c r="GS42" s="3">
        <f t="shared" si="70"/>
        <v>201</v>
      </c>
      <c r="GT42" s="3">
        <f t="shared" si="71"/>
        <v>667</v>
      </c>
      <c r="GU42" s="5">
        <f t="shared" si="72"/>
        <v>318</v>
      </c>
      <c r="GV42" s="5">
        <f t="shared" si="73"/>
        <v>1065</v>
      </c>
      <c r="GW42" s="10">
        <f t="shared" si="74"/>
        <v>3.3490566037735849</v>
      </c>
      <c r="GZ42">
        <v>8</v>
      </c>
      <c r="HA42">
        <v>31</v>
      </c>
      <c r="HB42">
        <v>66</v>
      </c>
      <c r="HC42">
        <v>338</v>
      </c>
      <c r="HF42">
        <v>298</v>
      </c>
      <c r="HG42">
        <v>1099</v>
      </c>
      <c r="HH42">
        <v>261</v>
      </c>
      <c r="HI42">
        <v>533</v>
      </c>
      <c r="HJ42">
        <v>8</v>
      </c>
      <c r="HK42">
        <v>40</v>
      </c>
      <c r="HL42">
        <v>15</v>
      </c>
      <c r="HM42">
        <v>62</v>
      </c>
      <c r="HN42">
        <v>8</v>
      </c>
      <c r="HO42">
        <v>23</v>
      </c>
      <c r="HP42" s="3">
        <f t="shared" si="75"/>
        <v>664</v>
      </c>
      <c r="HQ42" s="3">
        <f t="shared" si="76"/>
        <v>2126</v>
      </c>
      <c r="HT42">
        <v>1</v>
      </c>
      <c r="HU42">
        <v>2</v>
      </c>
      <c r="HV42">
        <v>69</v>
      </c>
      <c r="HW42">
        <v>232</v>
      </c>
      <c r="HX42">
        <v>57</v>
      </c>
      <c r="HY42">
        <v>144</v>
      </c>
      <c r="ID42" s="3">
        <f t="shared" si="77"/>
        <v>127</v>
      </c>
      <c r="IE42" s="3">
        <f t="shared" si="78"/>
        <v>378</v>
      </c>
      <c r="IF42" s="3"/>
      <c r="IG42">
        <f>6+1</f>
        <v>7</v>
      </c>
      <c r="IH42">
        <f>27+2</f>
        <v>29</v>
      </c>
      <c r="II42">
        <v>12</v>
      </c>
      <c r="IJ42">
        <v>38</v>
      </c>
      <c r="IK42" s="3">
        <f t="shared" si="79"/>
        <v>19</v>
      </c>
      <c r="IL42" s="3">
        <f t="shared" si="80"/>
        <v>67</v>
      </c>
      <c r="IR42">
        <v>1</v>
      </c>
      <c r="IS42">
        <v>27</v>
      </c>
      <c r="IT42">
        <v>1</v>
      </c>
      <c r="IU42">
        <v>140</v>
      </c>
      <c r="IV42">
        <v>80</v>
      </c>
      <c r="IW42">
        <v>294</v>
      </c>
      <c r="IX42">
        <v>91</v>
      </c>
      <c r="IY42">
        <v>246</v>
      </c>
      <c r="IZ42">
        <v>9</v>
      </c>
      <c r="JA42">
        <v>19</v>
      </c>
      <c r="JB42">
        <v>2</v>
      </c>
      <c r="JC42">
        <v>7</v>
      </c>
      <c r="JF42" s="3">
        <f t="shared" si="81"/>
        <v>184</v>
      </c>
      <c r="JG42" s="3">
        <f t="shared" si="82"/>
        <v>733</v>
      </c>
      <c r="JI42" s="5">
        <f t="shared" si="83"/>
        <v>994</v>
      </c>
      <c r="JJ42" s="5">
        <f t="shared" si="84"/>
        <v>3304</v>
      </c>
      <c r="JK42" s="10">
        <f t="shared" si="85"/>
        <v>3.323943661971831</v>
      </c>
      <c r="JR42">
        <v>8</v>
      </c>
      <c r="JS42">
        <v>77</v>
      </c>
      <c r="JT42">
        <v>12</v>
      </c>
      <c r="JU42">
        <v>53</v>
      </c>
      <c r="JV42">
        <v>14</v>
      </c>
      <c r="JW42">
        <v>75</v>
      </c>
      <c r="JZ42">
        <v>1</v>
      </c>
      <c r="KA42">
        <v>4</v>
      </c>
      <c r="KB42">
        <v>7</v>
      </c>
      <c r="KC42">
        <v>13</v>
      </c>
      <c r="KD42">
        <v>4</v>
      </c>
      <c r="KE42">
        <v>9</v>
      </c>
      <c r="KF42" s="3">
        <f t="shared" si="86"/>
        <v>46</v>
      </c>
      <c r="KG42" s="3">
        <f t="shared" si="87"/>
        <v>231</v>
      </c>
      <c r="KJ42">
        <f>1+1+1</f>
        <v>3</v>
      </c>
      <c r="KK42">
        <f>9+9+2</f>
        <v>20</v>
      </c>
      <c r="KL42">
        <v>1</v>
      </c>
      <c r="KM42">
        <v>2</v>
      </c>
      <c r="KP42" s="3">
        <f t="shared" si="88"/>
        <v>4</v>
      </c>
      <c r="KQ42" s="3">
        <f t="shared" si="89"/>
        <v>22</v>
      </c>
      <c r="KS42" s="5">
        <f t="shared" si="90"/>
        <v>50</v>
      </c>
      <c r="KT42" s="5">
        <f t="shared" si="91"/>
        <v>253</v>
      </c>
      <c r="KU42" s="10">
        <f t="shared" si="92"/>
        <v>5.0599999999999996</v>
      </c>
      <c r="KW42" s="5">
        <f t="shared" si="93"/>
        <v>2459</v>
      </c>
      <c r="KX42" s="5">
        <f t="shared" si="94"/>
        <v>12847</v>
      </c>
      <c r="KY42" s="10">
        <f t="shared" si="95"/>
        <v>5.2244814965433104</v>
      </c>
      <c r="LA42" s="15" t="s">
        <v>331</v>
      </c>
      <c r="LB42">
        <v>306238</v>
      </c>
      <c r="LD42" s="11">
        <f t="shared" si="96"/>
        <v>8.0297023883384817</v>
      </c>
      <c r="LE42" s="11">
        <f t="shared" si="97"/>
        <v>41.951031550624023</v>
      </c>
    </row>
    <row r="43" spans="1:319" ht="15.75" x14ac:dyDescent="0.25">
      <c r="A43" s="22" t="s">
        <v>398</v>
      </c>
      <c r="B43" s="24" t="s">
        <v>332</v>
      </c>
      <c r="C43" s="1"/>
      <c r="D43" s="1"/>
      <c r="E43">
        <v>1</v>
      </c>
      <c r="F43">
        <v>3</v>
      </c>
      <c r="G43">
        <v>2</v>
      </c>
      <c r="H43">
        <v>5</v>
      </c>
      <c r="L43">
        <v>79</v>
      </c>
      <c r="M43">
        <v>171</v>
      </c>
      <c r="N43" s="3">
        <f t="shared" si="29"/>
        <v>79</v>
      </c>
      <c r="O43" s="3">
        <f t="shared" si="30"/>
        <v>171</v>
      </c>
      <c r="P43" s="5">
        <f t="shared" si="31"/>
        <v>82</v>
      </c>
      <c r="Q43" s="5">
        <f t="shared" si="32"/>
        <v>179</v>
      </c>
      <c r="R43" s="10">
        <f t="shared" si="33"/>
        <v>2.1829268292682928</v>
      </c>
      <c r="U43">
        <f>3+2+13+2+4+2+9</f>
        <v>35</v>
      </c>
      <c r="V43">
        <f>190+299+19+4+11+6+257</f>
        <v>786</v>
      </c>
      <c r="W43">
        <v>277</v>
      </c>
      <c r="X43">
        <v>606</v>
      </c>
      <c r="Y43">
        <v>39</v>
      </c>
      <c r="Z43">
        <v>112</v>
      </c>
      <c r="AA43" s="3">
        <f t="shared" si="34"/>
        <v>351</v>
      </c>
      <c r="AB43" s="3">
        <f t="shared" si="35"/>
        <v>1504</v>
      </c>
      <c r="AD43">
        <v>12</v>
      </c>
      <c r="AE43">
        <v>58</v>
      </c>
      <c r="AF43">
        <v>7</v>
      </c>
      <c r="AG43">
        <v>41</v>
      </c>
      <c r="AI43">
        <f>4+1+4</f>
        <v>9</v>
      </c>
      <c r="AJ43">
        <f>13+4+10</f>
        <v>27</v>
      </c>
      <c r="AK43">
        <v>23</v>
      </c>
      <c r="AL43">
        <v>89</v>
      </c>
      <c r="AM43" s="3">
        <f t="shared" si="36"/>
        <v>32</v>
      </c>
      <c r="AN43" s="3">
        <f t="shared" si="37"/>
        <v>116</v>
      </c>
      <c r="AP43" s="5">
        <f t="shared" si="38"/>
        <v>402</v>
      </c>
      <c r="AQ43" s="5">
        <f t="shared" si="39"/>
        <v>1719</v>
      </c>
      <c r="AR43" s="10">
        <f t="shared" si="40"/>
        <v>4.2761194029850742</v>
      </c>
      <c r="AU43">
        <v>1</v>
      </c>
      <c r="AV43">
        <v>5</v>
      </c>
      <c r="AW43">
        <v>29</v>
      </c>
      <c r="AX43">
        <v>162</v>
      </c>
      <c r="AY43" s="3">
        <f t="shared" si="41"/>
        <v>30</v>
      </c>
      <c r="AZ43" s="3">
        <f t="shared" si="42"/>
        <v>167</v>
      </c>
      <c r="BD43">
        <f>1+4</f>
        <v>5</v>
      </c>
      <c r="BE43">
        <f>2+19</f>
        <v>21</v>
      </c>
      <c r="BF43" s="13">
        <f t="shared" si="43"/>
        <v>35</v>
      </c>
      <c r="BG43" s="13">
        <f t="shared" si="44"/>
        <v>188</v>
      </c>
      <c r="BH43" s="10">
        <f t="shared" si="45"/>
        <v>5.371428571428571</v>
      </c>
      <c r="BI43" s="10"/>
      <c r="BM43">
        <v>23</v>
      </c>
      <c r="BN43">
        <v>307</v>
      </c>
      <c r="BO43" s="14">
        <f t="shared" si="46"/>
        <v>23</v>
      </c>
      <c r="BP43" s="14">
        <f t="shared" si="47"/>
        <v>307</v>
      </c>
      <c r="BR43">
        <f>12+1</f>
        <v>13</v>
      </c>
      <c r="BS43">
        <f>54+2</f>
        <v>56</v>
      </c>
      <c r="BT43">
        <v>34</v>
      </c>
      <c r="BU43">
        <v>169</v>
      </c>
      <c r="BX43" s="14">
        <f t="shared" si="48"/>
        <v>47</v>
      </c>
      <c r="BY43" s="14">
        <f t="shared" si="49"/>
        <v>225</v>
      </c>
      <c r="CE43" s="13">
        <f t="shared" si="50"/>
        <v>70</v>
      </c>
      <c r="CF43" s="13">
        <f t="shared" si="51"/>
        <v>532</v>
      </c>
      <c r="CG43" s="10">
        <f t="shared" si="52"/>
        <v>7.6</v>
      </c>
      <c r="CH43" s="10"/>
      <c r="CJ43">
        <v>2</v>
      </c>
      <c r="CK43">
        <v>5</v>
      </c>
      <c r="CL43">
        <v>1</v>
      </c>
      <c r="CM43">
        <v>4</v>
      </c>
      <c r="CN43" s="14">
        <f t="shared" si="53"/>
        <v>3</v>
      </c>
      <c r="CO43" s="14">
        <f t="shared" si="54"/>
        <v>9</v>
      </c>
      <c r="CP43" s="12"/>
      <c r="CT43">
        <v>367</v>
      </c>
      <c r="CU43">
        <v>1306</v>
      </c>
      <c r="CX43">
        <f>110+22</f>
        <v>132</v>
      </c>
      <c r="CY43">
        <f>290+128</f>
        <v>418</v>
      </c>
      <c r="DJ43">
        <v>8</v>
      </c>
      <c r="DK43">
        <v>48</v>
      </c>
      <c r="DT43">
        <v>7</v>
      </c>
      <c r="DU43">
        <v>43</v>
      </c>
      <c r="DV43" s="3">
        <f t="shared" si="55"/>
        <v>514</v>
      </c>
      <c r="DW43" s="3">
        <f t="shared" si="56"/>
        <v>1815</v>
      </c>
      <c r="DY43">
        <v>16</v>
      </c>
      <c r="DZ43">
        <v>174</v>
      </c>
      <c r="EG43">
        <v>376</v>
      </c>
      <c r="EH43">
        <v>1378</v>
      </c>
      <c r="EI43">
        <v>3</v>
      </c>
      <c r="EJ43">
        <v>8</v>
      </c>
      <c r="EK43" s="3">
        <f t="shared" si="57"/>
        <v>395</v>
      </c>
      <c r="EL43" s="3">
        <f t="shared" si="58"/>
        <v>1560</v>
      </c>
      <c r="EM43" s="5">
        <f t="shared" si="59"/>
        <v>912</v>
      </c>
      <c r="EN43" s="5">
        <f t="shared" si="60"/>
        <v>3384</v>
      </c>
      <c r="EO43" s="10">
        <f t="shared" si="61"/>
        <v>3.7105263157894739</v>
      </c>
      <c r="EU43">
        <v>1</v>
      </c>
      <c r="EV43">
        <v>4</v>
      </c>
      <c r="EY43" s="3">
        <f t="shared" si="62"/>
        <v>1</v>
      </c>
      <c r="EZ43" s="3">
        <f t="shared" si="63"/>
        <v>4</v>
      </c>
      <c r="FD43">
        <v>15</v>
      </c>
      <c r="FE43">
        <v>47</v>
      </c>
      <c r="FF43">
        <v>31</v>
      </c>
      <c r="FG43">
        <v>69</v>
      </c>
      <c r="FH43" s="3">
        <f t="shared" si="64"/>
        <v>46</v>
      </c>
      <c r="FI43" s="3">
        <f t="shared" si="65"/>
        <v>116</v>
      </c>
      <c r="FK43">
        <v>3</v>
      </c>
      <c r="FL43">
        <v>24</v>
      </c>
      <c r="FO43">
        <v>7</v>
      </c>
      <c r="FP43">
        <v>32</v>
      </c>
      <c r="FQ43" s="3">
        <f t="shared" si="66"/>
        <v>10</v>
      </c>
      <c r="FR43" s="3">
        <f t="shared" si="67"/>
        <v>56</v>
      </c>
      <c r="FT43">
        <v>4</v>
      </c>
      <c r="FU43">
        <v>6</v>
      </c>
      <c r="FX43">
        <v>5</v>
      </c>
      <c r="FY43">
        <v>20</v>
      </c>
      <c r="FZ43">
        <v>1</v>
      </c>
      <c r="GA43">
        <v>2</v>
      </c>
      <c r="GB43" s="3">
        <f t="shared" si="68"/>
        <v>10</v>
      </c>
      <c r="GC43" s="3">
        <f t="shared" si="69"/>
        <v>28</v>
      </c>
      <c r="GI43">
        <v>1</v>
      </c>
      <c r="GJ43">
        <v>1</v>
      </c>
      <c r="GK43">
        <v>340</v>
      </c>
      <c r="GL43">
        <v>992</v>
      </c>
      <c r="GM43">
        <v>28</v>
      </c>
      <c r="GN43">
        <v>71</v>
      </c>
      <c r="GO43">
        <v>5</v>
      </c>
      <c r="GP43">
        <v>19</v>
      </c>
      <c r="GQ43">
        <v>11</v>
      </c>
      <c r="GR43">
        <v>22</v>
      </c>
      <c r="GS43" s="3">
        <f t="shared" si="70"/>
        <v>385</v>
      </c>
      <c r="GT43" s="3">
        <f t="shared" si="71"/>
        <v>1105</v>
      </c>
      <c r="GU43" s="5">
        <f t="shared" si="72"/>
        <v>452</v>
      </c>
      <c r="GV43" s="5">
        <f t="shared" si="73"/>
        <v>1309</v>
      </c>
      <c r="GW43" s="10">
        <f t="shared" si="74"/>
        <v>2.8960176991150441</v>
      </c>
      <c r="GZ43">
        <v>1</v>
      </c>
      <c r="HA43">
        <v>5</v>
      </c>
      <c r="HB43">
        <v>10</v>
      </c>
      <c r="HC43">
        <v>33</v>
      </c>
      <c r="HD43">
        <v>113</v>
      </c>
      <c r="HE43">
        <v>267</v>
      </c>
      <c r="HF43">
        <v>423</v>
      </c>
      <c r="HG43">
        <v>958</v>
      </c>
      <c r="HH43">
        <v>133</v>
      </c>
      <c r="HI43">
        <v>348</v>
      </c>
      <c r="HJ43">
        <v>25</v>
      </c>
      <c r="HK43">
        <v>56</v>
      </c>
      <c r="HL43">
        <v>8</v>
      </c>
      <c r="HM43">
        <v>24</v>
      </c>
      <c r="HP43" s="3">
        <f t="shared" si="75"/>
        <v>713</v>
      </c>
      <c r="HQ43" s="3">
        <f t="shared" si="76"/>
        <v>1691</v>
      </c>
      <c r="HV43">
        <v>85</v>
      </c>
      <c r="HW43">
        <v>182</v>
      </c>
      <c r="HX43">
        <v>32</v>
      </c>
      <c r="HY43">
        <v>101</v>
      </c>
      <c r="ID43" s="3">
        <f t="shared" si="77"/>
        <v>117</v>
      </c>
      <c r="IE43" s="3">
        <f t="shared" si="78"/>
        <v>283</v>
      </c>
      <c r="IF43" s="3"/>
      <c r="II43">
        <v>17</v>
      </c>
      <c r="IJ43">
        <v>75</v>
      </c>
      <c r="IK43" s="3">
        <f t="shared" si="79"/>
        <v>17</v>
      </c>
      <c r="IL43" s="3">
        <f t="shared" si="80"/>
        <v>75</v>
      </c>
      <c r="IT43">
        <v>6</v>
      </c>
      <c r="IU43">
        <v>68</v>
      </c>
      <c r="IV43">
        <v>148</v>
      </c>
      <c r="IW43">
        <v>350</v>
      </c>
      <c r="IX43">
        <v>77</v>
      </c>
      <c r="IY43">
        <v>165</v>
      </c>
      <c r="IZ43">
        <v>4</v>
      </c>
      <c r="JA43">
        <v>7</v>
      </c>
      <c r="JB43">
        <v>11</v>
      </c>
      <c r="JC43">
        <v>13</v>
      </c>
      <c r="JD43">
        <v>1</v>
      </c>
      <c r="JE43">
        <v>1</v>
      </c>
      <c r="JF43" s="3">
        <f t="shared" si="81"/>
        <v>247</v>
      </c>
      <c r="JG43" s="3">
        <f t="shared" si="82"/>
        <v>604</v>
      </c>
      <c r="JI43" s="5">
        <f t="shared" si="83"/>
        <v>1094</v>
      </c>
      <c r="JJ43" s="5">
        <f t="shared" si="84"/>
        <v>2653</v>
      </c>
      <c r="JK43" s="10">
        <f t="shared" si="85"/>
        <v>2.4250457038391224</v>
      </c>
      <c r="JP43">
        <v>2</v>
      </c>
      <c r="JQ43">
        <v>16</v>
      </c>
      <c r="JR43">
        <v>3</v>
      </c>
      <c r="JS43">
        <v>27</v>
      </c>
      <c r="JT43">
        <v>49</v>
      </c>
      <c r="JU43">
        <v>85</v>
      </c>
      <c r="JV43">
        <v>46</v>
      </c>
      <c r="JW43">
        <v>173</v>
      </c>
      <c r="KF43" s="3">
        <f t="shared" si="86"/>
        <v>100</v>
      </c>
      <c r="KG43" s="3">
        <f t="shared" si="87"/>
        <v>301</v>
      </c>
      <c r="KJ43">
        <f>1+2</f>
        <v>3</v>
      </c>
      <c r="KK43">
        <f>8+4</f>
        <v>12</v>
      </c>
      <c r="KL43">
        <v>1</v>
      </c>
      <c r="KM43">
        <v>17</v>
      </c>
      <c r="KP43" s="3">
        <f t="shared" si="88"/>
        <v>4</v>
      </c>
      <c r="KQ43" s="3">
        <f t="shared" si="89"/>
        <v>29</v>
      </c>
      <c r="KS43" s="5">
        <f t="shared" si="90"/>
        <v>104</v>
      </c>
      <c r="KT43" s="5">
        <f t="shared" si="91"/>
        <v>330</v>
      </c>
      <c r="KU43" s="10">
        <f t="shared" si="92"/>
        <v>3.1730769230769229</v>
      </c>
      <c r="KW43" s="5">
        <f t="shared" si="93"/>
        <v>3151</v>
      </c>
      <c r="KX43" s="5">
        <f t="shared" si="94"/>
        <v>10294</v>
      </c>
      <c r="KY43" s="10">
        <f t="shared" si="95"/>
        <v>3.2668993970168199</v>
      </c>
      <c r="LA43" s="15" t="s">
        <v>332</v>
      </c>
      <c r="LB43">
        <v>343876</v>
      </c>
      <c r="LD43" s="11">
        <f t="shared" si="96"/>
        <v>9.1631867301003851</v>
      </c>
      <c r="LE43" s="11">
        <f t="shared" si="97"/>
        <v>29.935209203317473</v>
      </c>
    </row>
    <row r="44" spans="1:319" ht="15.75" x14ac:dyDescent="0.25">
      <c r="A44" s="22" t="s">
        <v>399</v>
      </c>
      <c r="B44" s="24" t="s">
        <v>333</v>
      </c>
      <c r="C44" s="1"/>
      <c r="D44" s="1"/>
      <c r="G44">
        <v>3</v>
      </c>
      <c r="H44">
        <v>15</v>
      </c>
      <c r="L44">
        <v>31</v>
      </c>
      <c r="M44">
        <v>125</v>
      </c>
      <c r="N44" s="3">
        <f t="shared" si="29"/>
        <v>31</v>
      </c>
      <c r="O44" s="3">
        <f t="shared" si="30"/>
        <v>125</v>
      </c>
      <c r="P44" s="5">
        <f t="shared" si="31"/>
        <v>34</v>
      </c>
      <c r="Q44" s="5">
        <f t="shared" si="32"/>
        <v>140</v>
      </c>
      <c r="R44" s="10">
        <f t="shared" si="33"/>
        <v>4.117647058823529</v>
      </c>
      <c r="U44">
        <f>1+1</f>
        <v>2</v>
      </c>
      <c r="V44">
        <f>2+5</f>
        <v>7</v>
      </c>
      <c r="W44">
        <v>71</v>
      </c>
      <c r="X44">
        <v>451</v>
      </c>
      <c r="Y44">
        <v>17</v>
      </c>
      <c r="Z44">
        <v>65</v>
      </c>
      <c r="AA44" s="3">
        <f t="shared" si="34"/>
        <v>90</v>
      </c>
      <c r="AB44" s="3">
        <f t="shared" si="35"/>
        <v>523</v>
      </c>
      <c r="AD44">
        <v>6</v>
      </c>
      <c r="AE44">
        <v>33</v>
      </c>
      <c r="AI44">
        <v>1</v>
      </c>
      <c r="AJ44">
        <v>2</v>
      </c>
      <c r="AK44">
        <v>3</v>
      </c>
      <c r="AL44">
        <v>19</v>
      </c>
      <c r="AM44" s="3">
        <f t="shared" si="36"/>
        <v>4</v>
      </c>
      <c r="AN44" s="3">
        <f t="shared" si="37"/>
        <v>21</v>
      </c>
      <c r="AP44" s="5">
        <f t="shared" si="38"/>
        <v>100</v>
      </c>
      <c r="AQ44" s="5">
        <f t="shared" si="39"/>
        <v>577</v>
      </c>
      <c r="AR44" s="10">
        <f t="shared" si="40"/>
        <v>5.77</v>
      </c>
      <c r="AW44">
        <v>32</v>
      </c>
      <c r="AX44">
        <v>264</v>
      </c>
      <c r="AY44" s="3">
        <f t="shared" si="41"/>
        <v>32</v>
      </c>
      <c r="AZ44" s="3">
        <f t="shared" si="42"/>
        <v>264</v>
      </c>
      <c r="BD44">
        <f>5+1</f>
        <v>6</v>
      </c>
      <c r="BE44">
        <f>12+21</f>
        <v>33</v>
      </c>
      <c r="BF44" s="13">
        <f t="shared" si="43"/>
        <v>38</v>
      </c>
      <c r="BG44" s="13">
        <f t="shared" si="44"/>
        <v>297</v>
      </c>
      <c r="BH44" s="10">
        <f t="shared" si="45"/>
        <v>7.8157894736842106</v>
      </c>
      <c r="BI44" s="10"/>
      <c r="BM44">
        <v>20</v>
      </c>
      <c r="BN44">
        <v>408</v>
      </c>
      <c r="BO44" s="14">
        <f t="shared" si="46"/>
        <v>20</v>
      </c>
      <c r="BP44" s="14">
        <f t="shared" si="47"/>
        <v>408</v>
      </c>
      <c r="BR44">
        <v>1</v>
      </c>
      <c r="BS44">
        <v>10</v>
      </c>
      <c r="BT44">
        <v>23</v>
      </c>
      <c r="BU44">
        <v>141</v>
      </c>
      <c r="BX44" s="14">
        <f t="shared" si="48"/>
        <v>24</v>
      </c>
      <c r="BY44" s="14">
        <f t="shared" si="49"/>
        <v>151</v>
      </c>
      <c r="CE44" s="13">
        <f t="shared" si="50"/>
        <v>44</v>
      </c>
      <c r="CF44" s="13">
        <f t="shared" si="51"/>
        <v>559</v>
      </c>
      <c r="CG44" s="10">
        <f t="shared" si="52"/>
        <v>12.704545454545455</v>
      </c>
      <c r="CH44" s="10"/>
      <c r="CL44">
        <v>7</v>
      </c>
      <c r="CM44">
        <v>15</v>
      </c>
      <c r="CN44" s="14">
        <f t="shared" si="53"/>
        <v>7</v>
      </c>
      <c r="CO44" s="14">
        <f t="shared" si="54"/>
        <v>15</v>
      </c>
      <c r="CP44" s="12"/>
      <c r="CT44">
        <v>387</v>
      </c>
      <c r="CU44">
        <v>2142</v>
      </c>
      <c r="CX44">
        <f>105+24</f>
        <v>129</v>
      </c>
      <c r="CY44">
        <f>646+87</f>
        <v>733</v>
      </c>
      <c r="DJ44">
        <v>2</v>
      </c>
      <c r="DK44">
        <v>21</v>
      </c>
      <c r="DT44">
        <v>1</v>
      </c>
      <c r="DU44">
        <v>7</v>
      </c>
      <c r="DV44" s="3">
        <f t="shared" si="55"/>
        <v>519</v>
      </c>
      <c r="DW44" s="3">
        <f t="shared" si="56"/>
        <v>2903</v>
      </c>
      <c r="DY44">
        <v>8</v>
      </c>
      <c r="DZ44">
        <v>108</v>
      </c>
      <c r="EG44">
        <v>12</v>
      </c>
      <c r="EH44">
        <v>193</v>
      </c>
      <c r="EI44">
        <v>2</v>
      </c>
      <c r="EJ44">
        <v>12</v>
      </c>
      <c r="EK44" s="3">
        <f t="shared" si="57"/>
        <v>22</v>
      </c>
      <c r="EL44" s="3">
        <f t="shared" si="58"/>
        <v>313</v>
      </c>
      <c r="EM44" s="5">
        <f t="shared" si="59"/>
        <v>548</v>
      </c>
      <c r="EN44" s="5">
        <f t="shared" si="60"/>
        <v>3231</v>
      </c>
      <c r="EO44" s="10">
        <f t="shared" si="61"/>
        <v>5.8959854014598543</v>
      </c>
      <c r="EY44" s="3">
        <f t="shared" si="62"/>
        <v>0</v>
      </c>
      <c r="EZ44" s="3">
        <f t="shared" si="63"/>
        <v>0</v>
      </c>
      <c r="FD44">
        <v>1</v>
      </c>
      <c r="FE44">
        <v>7</v>
      </c>
      <c r="FF44">
        <v>2</v>
      </c>
      <c r="FG44">
        <v>9</v>
      </c>
      <c r="FH44" s="3">
        <f t="shared" si="64"/>
        <v>3</v>
      </c>
      <c r="FI44" s="3">
        <f t="shared" si="65"/>
        <v>16</v>
      </c>
      <c r="FQ44" s="3">
        <f t="shared" si="66"/>
        <v>0</v>
      </c>
      <c r="FR44" s="3">
        <f t="shared" si="67"/>
        <v>0</v>
      </c>
      <c r="FT44">
        <f>1+2</f>
        <v>3</v>
      </c>
      <c r="FU44">
        <f>3+4</f>
        <v>7</v>
      </c>
      <c r="GB44" s="3">
        <f t="shared" si="68"/>
        <v>3</v>
      </c>
      <c r="GC44" s="3">
        <f t="shared" si="69"/>
        <v>7</v>
      </c>
      <c r="GK44">
        <v>93</v>
      </c>
      <c r="GL44">
        <v>388</v>
      </c>
      <c r="GO44">
        <v>1</v>
      </c>
      <c r="GP44">
        <v>7</v>
      </c>
      <c r="GS44" s="3">
        <f t="shared" si="70"/>
        <v>94</v>
      </c>
      <c r="GT44" s="3">
        <f t="shared" si="71"/>
        <v>395</v>
      </c>
      <c r="GU44" s="5">
        <f t="shared" si="72"/>
        <v>100</v>
      </c>
      <c r="GV44" s="5">
        <f t="shared" si="73"/>
        <v>418</v>
      </c>
      <c r="GW44" s="10">
        <f t="shared" si="74"/>
        <v>4.18</v>
      </c>
      <c r="HD44">
        <v>37</v>
      </c>
      <c r="HE44">
        <v>200</v>
      </c>
      <c r="HF44">
        <v>33</v>
      </c>
      <c r="HG44">
        <v>140</v>
      </c>
      <c r="HH44">
        <v>496</v>
      </c>
      <c r="HI44">
        <v>1229</v>
      </c>
      <c r="HJ44">
        <v>1</v>
      </c>
      <c r="HK44">
        <v>2</v>
      </c>
      <c r="HL44">
        <v>3</v>
      </c>
      <c r="HM44">
        <v>19</v>
      </c>
      <c r="HP44" s="3">
        <f t="shared" si="75"/>
        <v>570</v>
      </c>
      <c r="HQ44" s="3">
        <f t="shared" si="76"/>
        <v>1590</v>
      </c>
      <c r="HV44">
        <v>10</v>
      </c>
      <c r="HW44">
        <v>23</v>
      </c>
      <c r="HX44">
        <v>9</v>
      </c>
      <c r="HY44">
        <v>53</v>
      </c>
      <c r="HZ44">
        <v>2</v>
      </c>
      <c r="IA44">
        <v>19</v>
      </c>
      <c r="ID44" s="3">
        <f t="shared" si="77"/>
        <v>21</v>
      </c>
      <c r="IE44" s="3">
        <f t="shared" si="78"/>
        <v>95</v>
      </c>
      <c r="IF44" s="3"/>
      <c r="II44">
        <v>15</v>
      </c>
      <c r="IJ44">
        <v>80</v>
      </c>
      <c r="IK44" s="3">
        <f t="shared" si="79"/>
        <v>15</v>
      </c>
      <c r="IL44" s="3">
        <f t="shared" si="80"/>
        <v>80</v>
      </c>
      <c r="IV44">
        <v>55</v>
      </c>
      <c r="IW44">
        <v>202</v>
      </c>
      <c r="IX44">
        <v>45</v>
      </c>
      <c r="IY44">
        <v>153</v>
      </c>
      <c r="IZ44">
        <v>1</v>
      </c>
      <c r="JA44">
        <v>3</v>
      </c>
      <c r="JF44" s="3">
        <f t="shared" si="81"/>
        <v>101</v>
      </c>
      <c r="JG44" s="3">
        <f t="shared" si="82"/>
        <v>358</v>
      </c>
      <c r="JI44" s="5">
        <f t="shared" si="83"/>
        <v>707</v>
      </c>
      <c r="JJ44" s="5">
        <f t="shared" si="84"/>
        <v>2123</v>
      </c>
      <c r="JK44" s="10">
        <f t="shared" si="85"/>
        <v>3.0028288543140027</v>
      </c>
      <c r="JR44">
        <v>4</v>
      </c>
      <c r="JS44">
        <v>31</v>
      </c>
      <c r="JT44">
        <v>17</v>
      </c>
      <c r="JU44">
        <v>85</v>
      </c>
      <c r="JV44">
        <v>22</v>
      </c>
      <c r="JW44">
        <v>48</v>
      </c>
      <c r="JX44">
        <v>1</v>
      </c>
      <c r="JY44">
        <v>1</v>
      </c>
      <c r="KB44">
        <v>3</v>
      </c>
      <c r="KC44">
        <v>6</v>
      </c>
      <c r="KF44" s="3">
        <f t="shared" si="86"/>
        <v>47</v>
      </c>
      <c r="KG44" s="3">
        <f t="shared" si="87"/>
        <v>171</v>
      </c>
      <c r="KJ44">
        <v>4</v>
      </c>
      <c r="KK44">
        <v>21</v>
      </c>
      <c r="KL44">
        <v>7</v>
      </c>
      <c r="KM44">
        <v>156</v>
      </c>
      <c r="KN44">
        <v>1</v>
      </c>
      <c r="KO44">
        <v>17</v>
      </c>
      <c r="KP44" s="3">
        <f t="shared" si="88"/>
        <v>12</v>
      </c>
      <c r="KQ44" s="3">
        <f t="shared" si="89"/>
        <v>194</v>
      </c>
      <c r="KS44" s="5">
        <f t="shared" si="90"/>
        <v>59</v>
      </c>
      <c r="KT44" s="5">
        <f t="shared" si="91"/>
        <v>365</v>
      </c>
      <c r="KU44" s="10">
        <f t="shared" si="92"/>
        <v>6.1864406779661021</v>
      </c>
      <c r="KW44" s="5">
        <f t="shared" si="93"/>
        <v>1630</v>
      </c>
      <c r="KX44" s="5">
        <f t="shared" si="94"/>
        <v>7710</v>
      </c>
      <c r="KY44" s="10">
        <f t="shared" si="95"/>
        <v>4.7300613496932513</v>
      </c>
      <c r="LA44" s="15" t="s">
        <v>333</v>
      </c>
      <c r="LB44">
        <v>368896</v>
      </c>
      <c r="LD44" s="11">
        <f t="shared" si="96"/>
        <v>4.418589521165857</v>
      </c>
      <c r="LE44" s="11">
        <f t="shared" si="97"/>
        <v>20.900199514226234</v>
      </c>
      <c r="LG44" s="10"/>
    </row>
    <row r="45" spans="1:319" ht="15.75" x14ac:dyDescent="0.25">
      <c r="A45" s="23" t="s">
        <v>415</v>
      </c>
      <c r="B45" s="24" t="s">
        <v>417</v>
      </c>
      <c r="C45" s="1"/>
      <c r="D45" s="1"/>
      <c r="E45">
        <v>2</v>
      </c>
      <c r="F45">
        <v>12</v>
      </c>
      <c r="G45">
        <v>31</v>
      </c>
      <c r="H45">
        <v>222</v>
      </c>
      <c r="I45">
        <v>0</v>
      </c>
      <c r="J45">
        <v>0</v>
      </c>
      <c r="K45">
        <v>0</v>
      </c>
      <c r="L45">
        <v>333</v>
      </c>
      <c r="M45">
        <v>1985</v>
      </c>
      <c r="N45">
        <v>333</v>
      </c>
      <c r="O45">
        <v>1985</v>
      </c>
      <c r="P45">
        <v>366</v>
      </c>
      <c r="Q45">
        <v>2219</v>
      </c>
      <c r="R45" s="10">
        <f t="shared" si="33"/>
        <v>6.0628415300546452</v>
      </c>
      <c r="S45">
        <v>0</v>
      </c>
      <c r="T45">
        <v>0</v>
      </c>
      <c r="U45">
        <v>33</v>
      </c>
      <c r="V45">
        <v>194</v>
      </c>
      <c r="W45">
        <v>430</v>
      </c>
      <c r="X45">
        <v>3455</v>
      </c>
      <c r="Y45">
        <v>71</v>
      </c>
      <c r="Z45">
        <v>547</v>
      </c>
      <c r="AA45">
        <v>534</v>
      </c>
      <c r="AB45">
        <v>4196</v>
      </c>
      <c r="AC45">
        <v>0</v>
      </c>
      <c r="AD45">
        <v>43</v>
      </c>
      <c r="AE45">
        <v>333</v>
      </c>
      <c r="AF45">
        <v>14</v>
      </c>
      <c r="AG45">
        <v>158</v>
      </c>
      <c r="AH45">
        <v>0</v>
      </c>
      <c r="AI45">
        <v>11</v>
      </c>
      <c r="AJ45">
        <v>622</v>
      </c>
      <c r="AK45">
        <v>29</v>
      </c>
      <c r="AL45">
        <v>245</v>
      </c>
      <c r="AM45">
        <v>40</v>
      </c>
      <c r="AN45">
        <v>867</v>
      </c>
      <c r="AO45">
        <v>0</v>
      </c>
      <c r="AP45">
        <v>631</v>
      </c>
      <c r="AQ45">
        <v>5554</v>
      </c>
      <c r="AR45" s="10">
        <f t="shared" si="40"/>
        <v>8.8019017432646596</v>
      </c>
      <c r="AS45">
        <v>0</v>
      </c>
      <c r="AT45">
        <v>0</v>
      </c>
      <c r="AU45">
        <v>4</v>
      </c>
      <c r="AV45">
        <v>44</v>
      </c>
      <c r="AW45">
        <v>123</v>
      </c>
      <c r="AX45">
        <v>449</v>
      </c>
      <c r="AY45">
        <v>127</v>
      </c>
      <c r="AZ45">
        <v>493</v>
      </c>
      <c r="BA45">
        <v>0</v>
      </c>
      <c r="BB45">
        <v>0</v>
      </c>
      <c r="BC45">
        <v>0</v>
      </c>
      <c r="BD45">
        <v>7</v>
      </c>
      <c r="BE45">
        <v>98</v>
      </c>
      <c r="BF45">
        <v>134</v>
      </c>
      <c r="BG45">
        <v>591</v>
      </c>
      <c r="BH45" s="10">
        <f t="shared" si="45"/>
        <v>4.41044776119403</v>
      </c>
      <c r="BI45">
        <v>0</v>
      </c>
      <c r="BJ45">
        <v>0</v>
      </c>
      <c r="BK45">
        <v>0</v>
      </c>
      <c r="BL45">
        <v>0</v>
      </c>
      <c r="BM45">
        <v>13</v>
      </c>
      <c r="BN45">
        <v>543</v>
      </c>
      <c r="BO45">
        <v>13</v>
      </c>
      <c r="BP45">
        <v>543</v>
      </c>
      <c r="BQ45">
        <v>0</v>
      </c>
      <c r="BR45">
        <v>7</v>
      </c>
      <c r="BS45">
        <v>71</v>
      </c>
      <c r="BT45">
        <v>28</v>
      </c>
      <c r="BU45">
        <v>456</v>
      </c>
      <c r="BV45">
        <v>0</v>
      </c>
      <c r="BW45">
        <v>0</v>
      </c>
      <c r="BX45">
        <v>35</v>
      </c>
      <c r="BY45">
        <v>527</v>
      </c>
      <c r="BZ45">
        <v>0</v>
      </c>
      <c r="CA45">
        <v>1</v>
      </c>
      <c r="CB45">
        <v>1</v>
      </c>
      <c r="CC45">
        <v>4</v>
      </c>
      <c r="CD45">
        <v>16</v>
      </c>
      <c r="CE45">
        <v>53</v>
      </c>
      <c r="CF45">
        <v>1087</v>
      </c>
      <c r="CG45" s="10">
        <f t="shared" si="52"/>
        <v>20.509433962264151</v>
      </c>
      <c r="CH45">
        <v>0</v>
      </c>
      <c r="CI45">
        <v>0</v>
      </c>
      <c r="CJ45">
        <v>5</v>
      </c>
      <c r="CK45">
        <v>28</v>
      </c>
      <c r="CL45">
        <v>53</v>
      </c>
      <c r="CM45">
        <v>252</v>
      </c>
      <c r="CN45">
        <v>58</v>
      </c>
      <c r="CO45">
        <v>280</v>
      </c>
      <c r="CP45">
        <v>0</v>
      </c>
      <c r="CQ45">
        <v>0</v>
      </c>
      <c r="CR45">
        <v>0</v>
      </c>
      <c r="CS45">
        <v>0</v>
      </c>
      <c r="CT45">
        <v>634</v>
      </c>
      <c r="CU45">
        <v>8458</v>
      </c>
      <c r="CV45">
        <v>2</v>
      </c>
      <c r="CW45">
        <v>308</v>
      </c>
      <c r="CX45">
        <v>91</v>
      </c>
      <c r="CY45">
        <v>932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13</v>
      </c>
      <c r="DK45">
        <v>190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30</v>
      </c>
      <c r="DU45">
        <v>251</v>
      </c>
      <c r="DV45">
        <v>770</v>
      </c>
      <c r="DW45">
        <v>10139</v>
      </c>
      <c r="DX45">
        <v>0</v>
      </c>
      <c r="DY45">
        <v>8</v>
      </c>
      <c r="DZ45">
        <v>1146</v>
      </c>
      <c r="EA45">
        <v>0</v>
      </c>
      <c r="EB45">
        <v>0</v>
      </c>
      <c r="EC45">
        <v>0</v>
      </c>
      <c r="ED45">
        <v>0</v>
      </c>
      <c r="EE45">
        <v>4</v>
      </c>
      <c r="EF45">
        <v>147</v>
      </c>
      <c r="EG45">
        <v>16</v>
      </c>
      <c r="EH45">
        <v>686</v>
      </c>
      <c r="EI45">
        <v>6</v>
      </c>
      <c r="EJ45">
        <v>76</v>
      </c>
      <c r="EK45">
        <v>34</v>
      </c>
      <c r="EL45">
        <v>2055</v>
      </c>
      <c r="EM45">
        <v>862</v>
      </c>
      <c r="EN45">
        <v>12474</v>
      </c>
      <c r="EO45" s="10">
        <f t="shared" si="61"/>
        <v>14.470997679814385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3</v>
      </c>
      <c r="EV45">
        <v>11</v>
      </c>
      <c r="EW45">
        <v>2</v>
      </c>
      <c r="EX45">
        <v>7</v>
      </c>
      <c r="EY45">
        <v>5</v>
      </c>
      <c r="EZ45">
        <v>18</v>
      </c>
      <c r="FA45">
        <v>0</v>
      </c>
      <c r="FB45">
        <v>0</v>
      </c>
      <c r="FC45">
        <v>0</v>
      </c>
      <c r="FD45">
        <v>64</v>
      </c>
      <c r="FE45">
        <v>322</v>
      </c>
      <c r="FF45">
        <v>106</v>
      </c>
      <c r="FG45">
        <v>253</v>
      </c>
      <c r="FH45">
        <v>170</v>
      </c>
      <c r="FI45">
        <v>575</v>
      </c>
      <c r="FJ45">
        <v>0</v>
      </c>
      <c r="FK45">
        <v>1</v>
      </c>
      <c r="FL45">
        <v>13</v>
      </c>
      <c r="FM45">
        <v>0</v>
      </c>
      <c r="FN45">
        <v>0</v>
      </c>
      <c r="FO45">
        <v>27</v>
      </c>
      <c r="FP45">
        <v>219</v>
      </c>
      <c r="FQ45">
        <v>28</v>
      </c>
      <c r="FR45">
        <v>232</v>
      </c>
      <c r="FS45">
        <v>0</v>
      </c>
      <c r="FT45">
        <v>0</v>
      </c>
      <c r="FU45">
        <v>0</v>
      </c>
      <c r="FV45">
        <v>4</v>
      </c>
      <c r="FW45">
        <v>21</v>
      </c>
      <c r="FX45">
        <v>14</v>
      </c>
      <c r="FY45">
        <v>112</v>
      </c>
      <c r="FZ45">
        <v>13</v>
      </c>
      <c r="GA45">
        <v>79</v>
      </c>
      <c r="GB45">
        <v>31</v>
      </c>
      <c r="GC45">
        <v>212</v>
      </c>
      <c r="GD45">
        <v>0</v>
      </c>
      <c r="GE45">
        <v>45</v>
      </c>
      <c r="GF45">
        <v>374</v>
      </c>
      <c r="GG45">
        <v>4</v>
      </c>
      <c r="GH45">
        <v>21</v>
      </c>
      <c r="GI45">
        <v>0</v>
      </c>
      <c r="GJ45">
        <v>0</v>
      </c>
      <c r="GK45">
        <v>324</v>
      </c>
      <c r="GL45">
        <v>1641</v>
      </c>
      <c r="GM45">
        <v>0</v>
      </c>
      <c r="GN45">
        <v>0</v>
      </c>
      <c r="GO45">
        <v>14</v>
      </c>
      <c r="GP45">
        <v>81</v>
      </c>
      <c r="GQ45">
        <v>5</v>
      </c>
      <c r="GR45">
        <v>17</v>
      </c>
      <c r="GS45">
        <v>392</v>
      </c>
      <c r="GT45">
        <v>2134</v>
      </c>
      <c r="GU45">
        <v>626</v>
      </c>
      <c r="GV45">
        <v>3171</v>
      </c>
      <c r="GW45" s="10">
        <f t="shared" si="74"/>
        <v>5.0654952076677313</v>
      </c>
      <c r="GX45">
        <v>0</v>
      </c>
      <c r="GY45">
        <v>0</v>
      </c>
      <c r="GZ45">
        <v>10</v>
      </c>
      <c r="HA45">
        <v>322</v>
      </c>
      <c r="HB45">
        <v>109</v>
      </c>
      <c r="HC45">
        <v>567</v>
      </c>
      <c r="HD45">
        <v>94</v>
      </c>
      <c r="HE45">
        <v>679</v>
      </c>
      <c r="HF45">
        <v>361</v>
      </c>
      <c r="HG45">
        <v>1753</v>
      </c>
      <c r="HH45">
        <v>334</v>
      </c>
      <c r="HI45">
        <v>1590</v>
      </c>
      <c r="HJ45">
        <v>28</v>
      </c>
      <c r="HK45">
        <v>194</v>
      </c>
      <c r="HL45">
        <v>37</v>
      </c>
      <c r="HM45">
        <v>191</v>
      </c>
      <c r="HN45">
        <v>2</v>
      </c>
      <c r="HO45">
        <v>4</v>
      </c>
      <c r="HP45">
        <v>975</v>
      </c>
      <c r="HQ45">
        <v>5300</v>
      </c>
      <c r="HR45">
        <v>0</v>
      </c>
      <c r="HS45">
        <v>0</v>
      </c>
      <c r="HT45">
        <v>0</v>
      </c>
      <c r="HU45">
        <v>0</v>
      </c>
      <c r="HV45">
        <v>272</v>
      </c>
      <c r="HW45">
        <v>1198</v>
      </c>
      <c r="HX45">
        <v>45</v>
      </c>
      <c r="HY45">
        <v>308</v>
      </c>
      <c r="HZ45">
        <v>4</v>
      </c>
      <c r="IA45">
        <v>27</v>
      </c>
      <c r="IB45">
        <v>4</v>
      </c>
      <c r="IC45">
        <v>34</v>
      </c>
      <c r="ID45">
        <v>325</v>
      </c>
      <c r="IE45">
        <v>1567</v>
      </c>
      <c r="IF45">
        <v>0</v>
      </c>
      <c r="IG45">
        <v>1</v>
      </c>
      <c r="IH45">
        <v>1</v>
      </c>
      <c r="II45">
        <v>11</v>
      </c>
      <c r="IJ45">
        <v>106</v>
      </c>
      <c r="IK45">
        <v>12</v>
      </c>
      <c r="IL45">
        <v>107</v>
      </c>
      <c r="IM45">
        <v>0</v>
      </c>
      <c r="IN45">
        <v>20</v>
      </c>
      <c r="IO45">
        <v>30</v>
      </c>
      <c r="IP45">
        <v>0</v>
      </c>
      <c r="IQ45">
        <v>0</v>
      </c>
      <c r="IR45">
        <v>4</v>
      </c>
      <c r="IS45">
        <v>12</v>
      </c>
      <c r="IT45">
        <v>0</v>
      </c>
      <c r="IU45">
        <v>0</v>
      </c>
      <c r="IV45">
        <v>303</v>
      </c>
      <c r="IW45">
        <v>1663</v>
      </c>
      <c r="IX45">
        <v>151</v>
      </c>
      <c r="IY45">
        <v>1117</v>
      </c>
      <c r="IZ45">
        <v>22</v>
      </c>
      <c r="JA45">
        <v>149</v>
      </c>
      <c r="JB45">
        <v>29</v>
      </c>
      <c r="JC45">
        <v>134</v>
      </c>
      <c r="JD45">
        <v>2</v>
      </c>
      <c r="JE45">
        <v>4</v>
      </c>
      <c r="JF45">
        <v>511</v>
      </c>
      <c r="JG45">
        <v>3079</v>
      </c>
      <c r="JH45">
        <v>0</v>
      </c>
      <c r="JI45">
        <v>1843</v>
      </c>
      <c r="JJ45">
        <v>10083</v>
      </c>
      <c r="JK45" s="10">
        <f t="shared" si="85"/>
        <v>5.4709712425393384</v>
      </c>
      <c r="JL45">
        <v>0</v>
      </c>
      <c r="JM45">
        <v>0</v>
      </c>
      <c r="JN45">
        <v>1</v>
      </c>
      <c r="JO45">
        <v>6</v>
      </c>
      <c r="JP45">
        <v>0</v>
      </c>
      <c r="JQ45">
        <v>0</v>
      </c>
      <c r="JR45">
        <v>14</v>
      </c>
      <c r="JS45">
        <v>276</v>
      </c>
      <c r="JT45">
        <v>49</v>
      </c>
      <c r="JU45">
        <v>344</v>
      </c>
      <c r="JV45">
        <v>59</v>
      </c>
      <c r="JW45">
        <v>565</v>
      </c>
      <c r="JX45">
        <v>4</v>
      </c>
      <c r="JY45">
        <v>13</v>
      </c>
      <c r="JZ45">
        <v>4</v>
      </c>
      <c r="KA45">
        <v>40</v>
      </c>
      <c r="KB45">
        <v>13</v>
      </c>
      <c r="KC45">
        <v>26</v>
      </c>
      <c r="KD45">
        <v>9</v>
      </c>
      <c r="KE45">
        <v>18</v>
      </c>
      <c r="KF45">
        <v>153</v>
      </c>
      <c r="KG45">
        <v>1288</v>
      </c>
      <c r="KH45">
        <v>0</v>
      </c>
      <c r="KI45">
        <v>0</v>
      </c>
      <c r="KJ45">
        <v>13</v>
      </c>
      <c r="KK45">
        <v>93</v>
      </c>
      <c r="KL45">
        <v>3</v>
      </c>
      <c r="KM45">
        <v>75</v>
      </c>
      <c r="KN45">
        <v>2</v>
      </c>
      <c r="KO45">
        <v>9</v>
      </c>
      <c r="KP45">
        <v>18</v>
      </c>
      <c r="KQ45">
        <v>177</v>
      </c>
      <c r="KR45">
        <v>0</v>
      </c>
      <c r="KS45">
        <v>171</v>
      </c>
      <c r="KT45">
        <v>1465</v>
      </c>
      <c r="KU45" s="10">
        <f t="shared" si="92"/>
        <v>8.5672514619883042</v>
      </c>
      <c r="KV45">
        <v>0</v>
      </c>
      <c r="KW45">
        <v>4686</v>
      </c>
      <c r="KX45">
        <v>36644</v>
      </c>
      <c r="KY45" s="10">
        <v>7.8198890311566371</v>
      </c>
      <c r="KZ45">
        <v>0</v>
      </c>
      <c r="LA45" t="s">
        <v>416</v>
      </c>
      <c r="LB45">
        <v>320168</v>
      </c>
      <c r="LC45">
        <v>0</v>
      </c>
      <c r="LD45" s="11">
        <v>14.63606606531571</v>
      </c>
      <c r="LE45" s="11">
        <v>114.4524124834462</v>
      </c>
      <c r="LG45" s="18"/>
    </row>
    <row r="46" spans="1:319" ht="15.75" x14ac:dyDescent="0.25">
      <c r="A46" s="22" t="s">
        <v>413</v>
      </c>
      <c r="B46" s="24" t="s">
        <v>334</v>
      </c>
      <c r="C46" s="1"/>
      <c r="D46" s="1"/>
      <c r="G46">
        <v>6</v>
      </c>
      <c r="H46">
        <v>21</v>
      </c>
      <c r="L46">
        <v>44</v>
      </c>
      <c r="M46">
        <v>115</v>
      </c>
      <c r="N46" s="3">
        <f t="shared" si="29"/>
        <v>44</v>
      </c>
      <c r="O46" s="3">
        <f t="shared" si="30"/>
        <v>115</v>
      </c>
      <c r="P46" s="5">
        <f t="shared" si="31"/>
        <v>50</v>
      </c>
      <c r="Q46" s="5">
        <f t="shared" si="32"/>
        <v>136</v>
      </c>
      <c r="R46" s="10">
        <f t="shared" si="33"/>
        <v>2.72</v>
      </c>
      <c r="U46">
        <f>1+4+3</f>
        <v>8</v>
      </c>
      <c r="V46">
        <f>1+6+9</f>
        <v>16</v>
      </c>
      <c r="W46">
        <f>193+1</f>
        <v>194</v>
      </c>
      <c r="X46">
        <f>325+2</f>
        <v>327</v>
      </c>
      <c r="Y46">
        <v>26</v>
      </c>
      <c r="Z46">
        <v>120</v>
      </c>
      <c r="AA46" s="3">
        <f t="shared" si="34"/>
        <v>228</v>
      </c>
      <c r="AB46" s="3">
        <f t="shared" si="35"/>
        <v>463</v>
      </c>
      <c r="AD46">
        <v>7</v>
      </c>
      <c r="AE46">
        <v>32</v>
      </c>
      <c r="AF46">
        <v>7</v>
      </c>
      <c r="AG46">
        <v>37</v>
      </c>
      <c r="AI46">
        <v>2</v>
      </c>
      <c r="AJ46">
        <v>13</v>
      </c>
      <c r="AK46">
        <v>6</v>
      </c>
      <c r="AL46">
        <v>27</v>
      </c>
      <c r="AM46" s="3">
        <f t="shared" si="36"/>
        <v>8</v>
      </c>
      <c r="AN46" s="3">
        <f t="shared" si="37"/>
        <v>40</v>
      </c>
      <c r="AP46" s="5">
        <f t="shared" si="38"/>
        <v>250</v>
      </c>
      <c r="AQ46" s="5">
        <f t="shared" si="39"/>
        <v>572</v>
      </c>
      <c r="AR46" s="10">
        <f t="shared" si="40"/>
        <v>2.2879999999999998</v>
      </c>
      <c r="AU46">
        <v>5</v>
      </c>
      <c r="AV46">
        <v>67</v>
      </c>
      <c r="AW46">
        <v>31</v>
      </c>
      <c r="AX46">
        <v>56</v>
      </c>
      <c r="AY46" s="3">
        <f t="shared" si="41"/>
        <v>36</v>
      </c>
      <c r="AZ46" s="3">
        <f t="shared" si="42"/>
        <v>123</v>
      </c>
      <c r="BB46">
        <v>1</v>
      </c>
      <c r="BC46">
        <v>49</v>
      </c>
      <c r="BD46">
        <v>7</v>
      </c>
      <c r="BE46">
        <v>91</v>
      </c>
      <c r="BF46" s="13">
        <f t="shared" si="43"/>
        <v>44</v>
      </c>
      <c r="BG46" s="13">
        <f t="shared" si="44"/>
        <v>263</v>
      </c>
      <c r="BH46" s="10">
        <f t="shared" si="45"/>
        <v>5.9772727272727275</v>
      </c>
      <c r="BI46" s="10"/>
      <c r="BM46">
        <v>6</v>
      </c>
      <c r="BN46">
        <v>202</v>
      </c>
      <c r="BO46" s="14">
        <f t="shared" si="46"/>
        <v>6</v>
      </c>
      <c r="BP46" s="14">
        <f t="shared" si="47"/>
        <v>202</v>
      </c>
      <c r="BT46">
        <v>14</v>
      </c>
      <c r="BU46">
        <v>53</v>
      </c>
      <c r="BX46" s="14">
        <f t="shared" si="48"/>
        <v>14</v>
      </c>
      <c r="BY46" s="14">
        <f t="shared" si="49"/>
        <v>53</v>
      </c>
      <c r="CE46" s="13">
        <f t="shared" si="50"/>
        <v>20</v>
      </c>
      <c r="CF46" s="13">
        <f t="shared" si="51"/>
        <v>255</v>
      </c>
      <c r="CG46" s="10">
        <f t="shared" si="52"/>
        <v>12.75</v>
      </c>
      <c r="CH46" s="10"/>
      <c r="CL46">
        <v>23</v>
      </c>
      <c r="CM46">
        <v>90</v>
      </c>
      <c r="CN46" s="14">
        <f t="shared" si="53"/>
        <v>23</v>
      </c>
      <c r="CO46" s="14">
        <f t="shared" si="54"/>
        <v>90</v>
      </c>
      <c r="CP46" s="12"/>
      <c r="CT46">
        <v>551</v>
      </c>
      <c r="CU46">
        <v>4340</v>
      </c>
      <c r="CX46">
        <v>37</v>
      </c>
      <c r="CY46">
        <v>389</v>
      </c>
      <c r="DJ46">
        <v>5</v>
      </c>
      <c r="DK46">
        <v>52</v>
      </c>
      <c r="DT46">
        <v>14</v>
      </c>
      <c r="DU46">
        <v>52</v>
      </c>
      <c r="DV46" s="3">
        <f t="shared" si="55"/>
        <v>607</v>
      </c>
      <c r="DW46" s="3">
        <f t="shared" si="56"/>
        <v>4833</v>
      </c>
      <c r="DY46">
        <v>4</v>
      </c>
      <c r="DZ46">
        <v>122</v>
      </c>
      <c r="EG46">
        <v>7</v>
      </c>
      <c r="EH46">
        <v>36</v>
      </c>
      <c r="EI46">
        <v>1</v>
      </c>
      <c r="EJ46">
        <v>7</v>
      </c>
      <c r="EK46" s="3">
        <f t="shared" si="57"/>
        <v>12</v>
      </c>
      <c r="EL46" s="3">
        <f t="shared" si="58"/>
        <v>165</v>
      </c>
      <c r="EM46" s="5">
        <f t="shared" si="59"/>
        <v>642</v>
      </c>
      <c r="EN46" s="5">
        <f t="shared" si="60"/>
        <v>5088</v>
      </c>
      <c r="EO46" s="10">
        <f t="shared" si="61"/>
        <v>7.9252336448598131</v>
      </c>
      <c r="EU46">
        <v>1</v>
      </c>
      <c r="EV46">
        <v>1</v>
      </c>
      <c r="EY46" s="3">
        <f t="shared" si="62"/>
        <v>1</v>
      </c>
      <c r="EZ46" s="3">
        <f t="shared" si="63"/>
        <v>1</v>
      </c>
      <c r="FD46">
        <v>10</v>
      </c>
      <c r="FE46">
        <v>40</v>
      </c>
      <c r="FF46">
        <v>8</v>
      </c>
      <c r="FG46">
        <v>8</v>
      </c>
      <c r="FH46" s="3">
        <f t="shared" si="64"/>
        <v>18</v>
      </c>
      <c r="FI46" s="3">
        <f t="shared" si="65"/>
        <v>48</v>
      </c>
      <c r="FO46">
        <v>13</v>
      </c>
      <c r="FP46">
        <v>68</v>
      </c>
      <c r="FQ46" s="3">
        <f t="shared" si="66"/>
        <v>13</v>
      </c>
      <c r="FR46" s="3">
        <f t="shared" si="67"/>
        <v>68</v>
      </c>
      <c r="FX46">
        <v>3</v>
      </c>
      <c r="FY46">
        <v>15</v>
      </c>
      <c r="FZ46">
        <v>1</v>
      </c>
      <c r="GA46">
        <v>10</v>
      </c>
      <c r="GB46" s="3">
        <f t="shared" si="68"/>
        <v>4</v>
      </c>
      <c r="GC46" s="3">
        <f t="shared" si="69"/>
        <v>25</v>
      </c>
      <c r="GE46">
        <v>6</v>
      </c>
      <c r="GF46">
        <v>7</v>
      </c>
      <c r="GK46">
        <v>100</v>
      </c>
      <c r="GL46">
        <v>272</v>
      </c>
      <c r="GO46">
        <v>4</v>
      </c>
      <c r="GP46">
        <v>12</v>
      </c>
      <c r="GS46" s="3">
        <f t="shared" si="70"/>
        <v>110</v>
      </c>
      <c r="GT46" s="3">
        <f t="shared" si="71"/>
        <v>291</v>
      </c>
      <c r="GU46" s="5">
        <f t="shared" si="72"/>
        <v>146</v>
      </c>
      <c r="GV46" s="5">
        <f t="shared" si="73"/>
        <v>433</v>
      </c>
      <c r="GW46" s="10">
        <f t="shared" si="74"/>
        <v>2.9657534246575343</v>
      </c>
      <c r="HB46">
        <v>51</v>
      </c>
      <c r="HC46">
        <v>240</v>
      </c>
      <c r="HD46">
        <v>3</v>
      </c>
      <c r="HE46">
        <v>10</v>
      </c>
      <c r="HF46">
        <v>84</v>
      </c>
      <c r="HG46">
        <v>292</v>
      </c>
      <c r="HH46">
        <v>109</v>
      </c>
      <c r="HI46">
        <v>156</v>
      </c>
      <c r="HJ46">
        <v>8</v>
      </c>
      <c r="HK46">
        <v>15</v>
      </c>
      <c r="HL46">
        <v>10</v>
      </c>
      <c r="HM46">
        <v>20</v>
      </c>
      <c r="HP46" s="3">
        <f t="shared" si="75"/>
        <v>265</v>
      </c>
      <c r="HQ46" s="3">
        <f t="shared" si="76"/>
        <v>733</v>
      </c>
      <c r="HV46">
        <v>117</v>
      </c>
      <c r="HW46">
        <v>234</v>
      </c>
      <c r="HX46">
        <v>21</v>
      </c>
      <c r="HY46">
        <v>55</v>
      </c>
      <c r="HZ46">
        <v>1</v>
      </c>
      <c r="IA46">
        <v>1</v>
      </c>
      <c r="IB46">
        <v>1</v>
      </c>
      <c r="IC46">
        <v>2</v>
      </c>
      <c r="ID46" s="3">
        <f t="shared" si="77"/>
        <v>140</v>
      </c>
      <c r="IE46" s="3">
        <f t="shared" si="78"/>
        <v>292</v>
      </c>
      <c r="IF46" s="3"/>
      <c r="II46">
        <v>4</v>
      </c>
      <c r="IJ46">
        <v>29</v>
      </c>
      <c r="IK46" s="3">
        <f t="shared" si="79"/>
        <v>4</v>
      </c>
      <c r="IL46" s="3">
        <f t="shared" si="80"/>
        <v>29</v>
      </c>
      <c r="IT46">
        <v>1</v>
      </c>
      <c r="IU46">
        <v>4</v>
      </c>
      <c r="IV46">
        <v>72</v>
      </c>
      <c r="IW46">
        <v>197</v>
      </c>
      <c r="IX46">
        <v>34</v>
      </c>
      <c r="IY46">
        <v>99</v>
      </c>
      <c r="IZ46">
        <v>6</v>
      </c>
      <c r="JA46">
        <v>22</v>
      </c>
      <c r="JB46">
        <v>6</v>
      </c>
      <c r="JC46">
        <v>15</v>
      </c>
      <c r="JD46">
        <v>1</v>
      </c>
      <c r="JE46">
        <v>2</v>
      </c>
      <c r="JF46" s="3">
        <f t="shared" si="81"/>
        <v>120</v>
      </c>
      <c r="JG46" s="3">
        <f t="shared" si="82"/>
        <v>339</v>
      </c>
      <c r="JI46" s="5">
        <f t="shared" si="83"/>
        <v>529</v>
      </c>
      <c r="JJ46" s="5">
        <f t="shared" si="84"/>
        <v>1393</v>
      </c>
      <c r="JK46" s="10">
        <f t="shared" si="85"/>
        <v>2.6332703213610587</v>
      </c>
      <c r="JP46">
        <v>2</v>
      </c>
      <c r="JQ46">
        <v>4</v>
      </c>
      <c r="JR46">
        <v>4</v>
      </c>
      <c r="JS46">
        <v>40</v>
      </c>
      <c r="JT46">
        <v>12</v>
      </c>
      <c r="JU46">
        <v>26</v>
      </c>
      <c r="JV46">
        <v>16</v>
      </c>
      <c r="JW46">
        <v>78</v>
      </c>
      <c r="KB46">
        <v>2</v>
      </c>
      <c r="KC46">
        <v>2</v>
      </c>
      <c r="KD46">
        <v>1</v>
      </c>
      <c r="KE46">
        <v>2</v>
      </c>
      <c r="KF46" s="3">
        <f t="shared" si="86"/>
        <v>37</v>
      </c>
      <c r="KG46" s="3">
        <f t="shared" si="87"/>
        <v>152</v>
      </c>
      <c r="KL46">
        <v>1</v>
      </c>
      <c r="KM46">
        <v>11</v>
      </c>
      <c r="KP46" s="3">
        <f t="shared" si="88"/>
        <v>1</v>
      </c>
      <c r="KQ46" s="3">
        <f t="shared" si="89"/>
        <v>11</v>
      </c>
      <c r="KS46" s="5">
        <f t="shared" si="90"/>
        <v>38</v>
      </c>
      <c r="KT46" s="5">
        <f t="shared" si="91"/>
        <v>163</v>
      </c>
      <c r="KU46" s="10">
        <f t="shared" si="92"/>
        <v>4.2894736842105265</v>
      </c>
      <c r="KW46" s="5">
        <f t="shared" si="93"/>
        <v>1719</v>
      </c>
      <c r="KX46" s="5">
        <f t="shared" si="94"/>
        <v>8303</v>
      </c>
      <c r="KY46" s="10">
        <f t="shared" si="95"/>
        <v>4.830133798720186</v>
      </c>
      <c r="LA46" s="15" t="s">
        <v>334</v>
      </c>
      <c r="LB46">
        <v>234180</v>
      </c>
      <c r="LD46" s="11">
        <f t="shared" si="96"/>
        <v>7.3405073020753271</v>
      </c>
      <c r="LE46" s="11">
        <f t="shared" si="97"/>
        <v>35.455632419506358</v>
      </c>
    </row>
    <row r="47" spans="1:319" ht="15.75" x14ac:dyDescent="0.25">
      <c r="A47" s="22" t="s">
        <v>412</v>
      </c>
      <c r="B47" s="24" t="s">
        <v>335</v>
      </c>
      <c r="C47" s="1"/>
      <c r="D47" s="1"/>
      <c r="E47">
        <v>1</v>
      </c>
      <c r="F47">
        <v>2</v>
      </c>
      <c r="G47">
        <f>12+1</f>
        <v>13</v>
      </c>
      <c r="H47">
        <f>43+1</f>
        <v>44</v>
      </c>
      <c r="L47">
        <v>323</v>
      </c>
      <c r="M47">
        <v>783</v>
      </c>
      <c r="N47" s="3">
        <f t="shared" si="29"/>
        <v>323</v>
      </c>
      <c r="O47" s="3">
        <f t="shared" si="30"/>
        <v>783</v>
      </c>
      <c r="P47" s="5">
        <f t="shared" si="31"/>
        <v>337</v>
      </c>
      <c r="Q47" s="5">
        <f t="shared" si="32"/>
        <v>829</v>
      </c>
      <c r="R47" s="10">
        <f t="shared" si="33"/>
        <v>2.4599406528189909</v>
      </c>
      <c r="U47">
        <f>1+2+3+10</f>
        <v>16</v>
      </c>
      <c r="V47">
        <f>3+8+8+34</f>
        <v>53</v>
      </c>
      <c r="W47">
        <f>444+1</f>
        <v>445</v>
      </c>
      <c r="X47">
        <f>1111+6</f>
        <v>1117</v>
      </c>
      <c r="Y47">
        <v>62</v>
      </c>
      <c r="Z47">
        <v>161</v>
      </c>
      <c r="AA47" s="3">
        <f t="shared" si="34"/>
        <v>523</v>
      </c>
      <c r="AB47" s="3">
        <f t="shared" si="35"/>
        <v>1331</v>
      </c>
      <c r="AD47">
        <v>6</v>
      </c>
      <c r="AE47">
        <v>22</v>
      </c>
      <c r="AF47">
        <v>11</v>
      </c>
      <c r="AG47">
        <v>55</v>
      </c>
      <c r="AI47">
        <f>3+1</f>
        <v>4</v>
      </c>
      <c r="AJ47">
        <f>9+10</f>
        <v>19</v>
      </c>
      <c r="AK47">
        <v>35</v>
      </c>
      <c r="AL47">
        <v>127</v>
      </c>
      <c r="AM47" s="3">
        <f t="shared" si="36"/>
        <v>39</v>
      </c>
      <c r="AN47" s="3">
        <f t="shared" si="37"/>
        <v>146</v>
      </c>
      <c r="AP47" s="5">
        <f t="shared" si="38"/>
        <v>579</v>
      </c>
      <c r="AQ47" s="5">
        <f t="shared" si="39"/>
        <v>1554</v>
      </c>
      <c r="AR47" s="10">
        <f t="shared" si="40"/>
        <v>2.6839378238341971</v>
      </c>
      <c r="AU47">
        <v>10</v>
      </c>
      <c r="AV47">
        <v>60</v>
      </c>
      <c r="AW47">
        <v>20</v>
      </c>
      <c r="AX47">
        <v>64</v>
      </c>
      <c r="AY47" s="3">
        <f t="shared" si="41"/>
        <v>30</v>
      </c>
      <c r="AZ47" s="3">
        <f t="shared" si="42"/>
        <v>124</v>
      </c>
      <c r="BD47">
        <v>7</v>
      </c>
      <c r="BE47">
        <v>25</v>
      </c>
      <c r="BF47" s="13">
        <f t="shared" si="43"/>
        <v>37</v>
      </c>
      <c r="BG47" s="13">
        <f t="shared" si="44"/>
        <v>149</v>
      </c>
      <c r="BH47" s="10">
        <f t="shared" si="45"/>
        <v>4.0270270270270272</v>
      </c>
      <c r="BI47" s="10"/>
      <c r="BK47">
        <v>3</v>
      </c>
      <c r="BL47">
        <v>14</v>
      </c>
      <c r="BM47">
        <v>17</v>
      </c>
      <c r="BN47">
        <v>223</v>
      </c>
      <c r="BO47" s="14">
        <f t="shared" si="46"/>
        <v>20</v>
      </c>
      <c r="BP47" s="14">
        <f t="shared" si="47"/>
        <v>237</v>
      </c>
      <c r="BR47">
        <f>9+4</f>
        <v>13</v>
      </c>
      <c r="BS47">
        <f>103+17</f>
        <v>120</v>
      </c>
      <c r="BT47">
        <v>35</v>
      </c>
      <c r="BU47">
        <v>125</v>
      </c>
      <c r="BX47" s="14">
        <f t="shared" si="48"/>
        <v>48</v>
      </c>
      <c r="BY47" s="14">
        <f t="shared" si="49"/>
        <v>245</v>
      </c>
      <c r="CC47">
        <f>2+1</f>
        <v>3</v>
      </c>
      <c r="CD47">
        <f>4+2</f>
        <v>6</v>
      </c>
      <c r="CE47" s="13">
        <f t="shared" si="50"/>
        <v>71</v>
      </c>
      <c r="CF47" s="13">
        <f t="shared" si="51"/>
        <v>488</v>
      </c>
      <c r="CG47" s="10">
        <f t="shared" si="52"/>
        <v>6.873239436619718</v>
      </c>
      <c r="CH47" s="10"/>
      <c r="CJ47">
        <v>4</v>
      </c>
      <c r="CK47">
        <v>9</v>
      </c>
      <c r="CL47">
        <v>8</v>
      </c>
      <c r="CM47">
        <v>31</v>
      </c>
      <c r="CN47" s="14">
        <f t="shared" si="53"/>
        <v>12</v>
      </c>
      <c r="CO47" s="14">
        <f t="shared" si="54"/>
        <v>40</v>
      </c>
      <c r="CP47" s="12"/>
      <c r="CT47">
        <v>551</v>
      </c>
      <c r="CU47">
        <v>5278</v>
      </c>
      <c r="CX47">
        <v>32</v>
      </c>
      <c r="CY47">
        <v>192</v>
      </c>
      <c r="DJ47">
        <v>8</v>
      </c>
      <c r="DK47">
        <v>40</v>
      </c>
      <c r="DT47">
        <v>29</v>
      </c>
      <c r="DU47">
        <v>128</v>
      </c>
      <c r="DV47" s="3">
        <f t="shared" si="55"/>
        <v>620</v>
      </c>
      <c r="DW47" s="3">
        <f t="shared" si="56"/>
        <v>5638</v>
      </c>
      <c r="DY47">
        <v>2</v>
      </c>
      <c r="DZ47">
        <v>73</v>
      </c>
      <c r="EG47">
        <v>1</v>
      </c>
      <c r="EH47">
        <v>13</v>
      </c>
      <c r="EI47">
        <v>4</v>
      </c>
      <c r="EJ47">
        <v>15</v>
      </c>
      <c r="EK47" s="3">
        <f t="shared" si="57"/>
        <v>7</v>
      </c>
      <c r="EL47" s="3">
        <f t="shared" si="58"/>
        <v>101</v>
      </c>
      <c r="EM47" s="5">
        <f t="shared" si="59"/>
        <v>639</v>
      </c>
      <c r="EN47" s="5">
        <f t="shared" si="60"/>
        <v>5779</v>
      </c>
      <c r="EO47" s="10">
        <f t="shared" si="61"/>
        <v>9.0438184663536774</v>
      </c>
      <c r="EU47">
        <v>1</v>
      </c>
      <c r="EV47">
        <v>6</v>
      </c>
      <c r="EY47" s="3">
        <f t="shared" si="62"/>
        <v>1</v>
      </c>
      <c r="EZ47" s="3">
        <f t="shared" si="63"/>
        <v>6</v>
      </c>
      <c r="FD47">
        <v>81</v>
      </c>
      <c r="FE47">
        <v>202</v>
      </c>
      <c r="FF47">
        <v>86</v>
      </c>
      <c r="FG47">
        <v>121</v>
      </c>
      <c r="FH47" s="3">
        <f t="shared" si="64"/>
        <v>167</v>
      </c>
      <c r="FI47" s="3">
        <f t="shared" si="65"/>
        <v>323</v>
      </c>
      <c r="FO47">
        <v>26</v>
      </c>
      <c r="FP47">
        <v>91</v>
      </c>
      <c r="FQ47" s="3">
        <f t="shared" si="66"/>
        <v>26</v>
      </c>
      <c r="FR47" s="3">
        <f t="shared" si="67"/>
        <v>91</v>
      </c>
      <c r="FT47">
        <v>3</v>
      </c>
      <c r="FU47">
        <v>27</v>
      </c>
      <c r="FV47">
        <v>10</v>
      </c>
      <c r="FW47">
        <v>21</v>
      </c>
      <c r="FX47">
        <v>16</v>
      </c>
      <c r="FY47">
        <v>47</v>
      </c>
      <c r="FZ47">
        <v>6</v>
      </c>
      <c r="GA47">
        <v>20</v>
      </c>
      <c r="GB47" s="3">
        <f t="shared" si="68"/>
        <v>35</v>
      </c>
      <c r="GC47" s="3">
        <f t="shared" si="69"/>
        <v>115</v>
      </c>
      <c r="GE47">
        <v>12</v>
      </c>
      <c r="GF47">
        <v>36</v>
      </c>
      <c r="GG47">
        <v>2</v>
      </c>
      <c r="GH47">
        <v>4</v>
      </c>
      <c r="GK47">
        <v>420</v>
      </c>
      <c r="GL47">
        <v>1083</v>
      </c>
      <c r="GS47" s="3">
        <f t="shared" si="70"/>
        <v>434</v>
      </c>
      <c r="GT47" s="3">
        <f t="shared" si="71"/>
        <v>1123</v>
      </c>
      <c r="GU47" s="5">
        <f t="shared" si="72"/>
        <v>663</v>
      </c>
      <c r="GV47" s="5">
        <f t="shared" si="73"/>
        <v>1658</v>
      </c>
      <c r="GW47" s="10">
        <f t="shared" si="74"/>
        <v>2.5007541478129713</v>
      </c>
      <c r="GZ47">
        <v>1</v>
      </c>
      <c r="HA47">
        <v>1</v>
      </c>
      <c r="HD47">
        <v>72</v>
      </c>
      <c r="HE47">
        <v>263</v>
      </c>
      <c r="HF47">
        <v>391</v>
      </c>
      <c r="HG47">
        <v>1191</v>
      </c>
      <c r="HH47">
        <v>276</v>
      </c>
      <c r="HI47">
        <v>670</v>
      </c>
      <c r="HJ47">
        <v>43</v>
      </c>
      <c r="HK47">
        <v>137</v>
      </c>
      <c r="HL47">
        <v>23</v>
      </c>
      <c r="HM47">
        <v>80</v>
      </c>
      <c r="HP47" s="3">
        <f t="shared" si="75"/>
        <v>806</v>
      </c>
      <c r="HQ47" s="3">
        <f t="shared" si="76"/>
        <v>2342</v>
      </c>
      <c r="HT47">
        <f>1+2</f>
        <v>3</v>
      </c>
      <c r="HU47">
        <f>1+5</f>
        <v>6</v>
      </c>
      <c r="HV47">
        <v>238</v>
      </c>
      <c r="HW47">
        <v>655</v>
      </c>
      <c r="HX47">
        <v>42</v>
      </c>
      <c r="HY47">
        <v>161</v>
      </c>
      <c r="HZ47">
        <v>2</v>
      </c>
      <c r="IA47">
        <v>8</v>
      </c>
      <c r="ID47" s="3">
        <f t="shared" si="77"/>
        <v>285</v>
      </c>
      <c r="IE47" s="3">
        <f t="shared" si="78"/>
        <v>830</v>
      </c>
      <c r="IF47" s="3"/>
      <c r="IG47">
        <f>1+1</f>
        <v>2</v>
      </c>
      <c r="IH47">
        <f>2+5</f>
        <v>7</v>
      </c>
      <c r="II47">
        <v>7</v>
      </c>
      <c r="IJ47">
        <v>37</v>
      </c>
      <c r="IK47" s="3">
        <f t="shared" si="79"/>
        <v>9</v>
      </c>
      <c r="IL47" s="3">
        <f t="shared" si="80"/>
        <v>44</v>
      </c>
      <c r="IN47">
        <v>1</v>
      </c>
      <c r="IO47">
        <v>2</v>
      </c>
      <c r="IR47">
        <f>1+23</f>
        <v>24</v>
      </c>
      <c r="IS47">
        <f>3+68</f>
        <v>71</v>
      </c>
      <c r="IV47">
        <v>347</v>
      </c>
      <c r="IW47">
        <v>798</v>
      </c>
      <c r="IX47">
        <v>81</v>
      </c>
      <c r="IY47">
        <v>222</v>
      </c>
      <c r="IZ47">
        <v>20</v>
      </c>
      <c r="JA47">
        <v>56</v>
      </c>
      <c r="JB47">
        <v>31</v>
      </c>
      <c r="JC47">
        <v>99</v>
      </c>
      <c r="JD47">
        <v>3</v>
      </c>
      <c r="JE47">
        <v>18</v>
      </c>
      <c r="JF47" s="3">
        <f t="shared" si="81"/>
        <v>506</v>
      </c>
      <c r="JG47" s="3">
        <f t="shared" si="82"/>
        <v>1264</v>
      </c>
      <c r="JI47" s="5">
        <f t="shared" si="83"/>
        <v>1607</v>
      </c>
      <c r="JJ47" s="5">
        <f t="shared" si="84"/>
        <v>4482</v>
      </c>
      <c r="JK47" s="10">
        <f t="shared" si="85"/>
        <v>2.7890479153702552</v>
      </c>
      <c r="JR47">
        <v>2</v>
      </c>
      <c r="JS47">
        <v>38</v>
      </c>
      <c r="JT47">
        <v>89</v>
      </c>
      <c r="JU47">
        <v>196</v>
      </c>
      <c r="JV47">
        <v>55</v>
      </c>
      <c r="JW47">
        <v>223</v>
      </c>
      <c r="JX47">
        <v>4</v>
      </c>
      <c r="JY47">
        <v>13</v>
      </c>
      <c r="JZ47">
        <v>1</v>
      </c>
      <c r="KA47">
        <v>3</v>
      </c>
      <c r="KB47">
        <v>8</v>
      </c>
      <c r="KC47">
        <v>33</v>
      </c>
      <c r="KD47">
        <v>1</v>
      </c>
      <c r="KE47">
        <v>2</v>
      </c>
      <c r="KF47" s="3">
        <f t="shared" si="86"/>
        <v>160</v>
      </c>
      <c r="KG47" s="3">
        <f t="shared" si="87"/>
        <v>508</v>
      </c>
      <c r="KJ47">
        <f>1+1+2</f>
        <v>4</v>
      </c>
      <c r="KK47">
        <f>2+2+6</f>
        <v>10</v>
      </c>
      <c r="KL47">
        <v>1</v>
      </c>
      <c r="KM47">
        <v>13</v>
      </c>
      <c r="KN47">
        <v>1</v>
      </c>
      <c r="KO47">
        <v>6</v>
      </c>
      <c r="KP47" s="3">
        <f t="shared" si="88"/>
        <v>6</v>
      </c>
      <c r="KQ47" s="3">
        <f t="shared" si="89"/>
        <v>29</v>
      </c>
      <c r="KS47" s="5">
        <f t="shared" si="90"/>
        <v>166</v>
      </c>
      <c r="KT47" s="5">
        <f t="shared" si="91"/>
        <v>537</v>
      </c>
      <c r="KU47" s="10">
        <f t="shared" si="92"/>
        <v>3.2349397590361444</v>
      </c>
      <c r="KW47" s="5">
        <f t="shared" si="93"/>
        <v>4099</v>
      </c>
      <c r="KX47" s="5">
        <f t="shared" si="94"/>
        <v>15476</v>
      </c>
      <c r="KY47" s="10">
        <f t="shared" si="95"/>
        <v>3.775555013417907</v>
      </c>
      <c r="LA47" s="17" t="s">
        <v>336</v>
      </c>
      <c r="LB47">
        <v>389692</v>
      </c>
      <c r="LD47" s="11">
        <f t="shared" si="96"/>
        <v>10.518563378257701</v>
      </c>
      <c r="LE47" s="11">
        <f t="shared" si="97"/>
        <v>39.713414696734858</v>
      </c>
    </row>
    <row r="48" spans="1:319" ht="15.75" x14ac:dyDescent="0.25">
      <c r="A48" s="22" t="s">
        <v>407</v>
      </c>
      <c r="B48" s="24" t="s">
        <v>337</v>
      </c>
      <c r="C48" s="1"/>
      <c r="D48" s="1"/>
      <c r="E48">
        <v>1</v>
      </c>
      <c r="F48">
        <v>1</v>
      </c>
      <c r="G48">
        <f>1+12+1+2+2</f>
        <v>18</v>
      </c>
      <c r="H48">
        <f>3+69+52+20+3</f>
        <v>147</v>
      </c>
      <c r="J48">
        <v>4</v>
      </c>
      <c r="K48">
        <v>9</v>
      </c>
      <c r="L48">
        <v>310</v>
      </c>
      <c r="M48">
        <v>475</v>
      </c>
      <c r="N48" s="3">
        <f t="shared" si="29"/>
        <v>314</v>
      </c>
      <c r="O48" s="3">
        <f t="shared" si="30"/>
        <v>484</v>
      </c>
      <c r="P48" s="5">
        <f t="shared" si="31"/>
        <v>333</v>
      </c>
      <c r="Q48" s="5">
        <f t="shared" si="32"/>
        <v>632</v>
      </c>
      <c r="R48" s="10">
        <f t="shared" si="33"/>
        <v>1.897897897897898</v>
      </c>
      <c r="U48">
        <f>17+6+24</f>
        <v>47</v>
      </c>
      <c r="V48">
        <f>45+12+49</f>
        <v>106</v>
      </c>
      <c r="W48">
        <f>494+3+2</f>
        <v>499</v>
      </c>
      <c r="X48">
        <f>769+4+8</f>
        <v>781</v>
      </c>
      <c r="Y48">
        <v>121</v>
      </c>
      <c r="Z48">
        <v>286</v>
      </c>
      <c r="AA48" s="3">
        <f t="shared" si="34"/>
        <v>667</v>
      </c>
      <c r="AB48" s="3">
        <f t="shared" si="35"/>
        <v>1173</v>
      </c>
      <c r="AD48">
        <v>7</v>
      </c>
      <c r="AE48">
        <v>45</v>
      </c>
      <c r="AF48">
        <v>27</v>
      </c>
      <c r="AG48">
        <v>83</v>
      </c>
      <c r="AI48">
        <f>8+2+1</f>
        <v>11</v>
      </c>
      <c r="AJ48">
        <f>17+17+2</f>
        <v>36</v>
      </c>
      <c r="AK48">
        <v>29</v>
      </c>
      <c r="AL48">
        <v>92</v>
      </c>
      <c r="AM48" s="3">
        <f t="shared" si="36"/>
        <v>40</v>
      </c>
      <c r="AN48" s="3">
        <f t="shared" si="37"/>
        <v>128</v>
      </c>
      <c r="AP48" s="5">
        <f t="shared" si="38"/>
        <v>741</v>
      </c>
      <c r="AQ48" s="5">
        <f t="shared" si="39"/>
        <v>1429</v>
      </c>
      <c r="AR48" s="10">
        <f t="shared" si="40"/>
        <v>1.9284750337381917</v>
      </c>
      <c r="AU48">
        <v>8</v>
      </c>
      <c r="AV48">
        <v>53</v>
      </c>
      <c r="AW48">
        <v>81</v>
      </c>
      <c r="AX48">
        <v>144</v>
      </c>
      <c r="AY48" s="3">
        <f t="shared" si="41"/>
        <v>89</v>
      </c>
      <c r="AZ48" s="3">
        <f t="shared" si="42"/>
        <v>197</v>
      </c>
      <c r="BD48">
        <v>14</v>
      </c>
      <c r="BE48">
        <v>127</v>
      </c>
      <c r="BF48" s="13">
        <f t="shared" si="43"/>
        <v>103</v>
      </c>
      <c r="BG48" s="13">
        <f t="shared" si="44"/>
        <v>324</v>
      </c>
      <c r="BH48" s="10">
        <f t="shared" si="45"/>
        <v>3.145631067961165</v>
      </c>
      <c r="BI48" s="10"/>
      <c r="BK48">
        <v>2</v>
      </c>
      <c r="BL48">
        <v>7</v>
      </c>
      <c r="BM48">
        <v>20</v>
      </c>
      <c r="BN48">
        <v>418</v>
      </c>
      <c r="BO48" s="14">
        <f t="shared" si="46"/>
        <v>22</v>
      </c>
      <c r="BP48" s="14">
        <f t="shared" si="47"/>
        <v>425</v>
      </c>
      <c r="BR48">
        <f>78+1+2</f>
        <v>81</v>
      </c>
      <c r="BS48">
        <f>941+4+14</f>
        <v>959</v>
      </c>
      <c r="BT48">
        <v>57</v>
      </c>
      <c r="BU48">
        <v>311</v>
      </c>
      <c r="BX48" s="14">
        <f t="shared" si="48"/>
        <v>138</v>
      </c>
      <c r="BY48" s="14">
        <f t="shared" si="49"/>
        <v>1270</v>
      </c>
      <c r="CE48" s="13">
        <f t="shared" si="50"/>
        <v>160</v>
      </c>
      <c r="CF48" s="13">
        <f t="shared" si="51"/>
        <v>1695</v>
      </c>
      <c r="CG48" s="10">
        <f t="shared" si="52"/>
        <v>10.59375</v>
      </c>
      <c r="CH48" s="10"/>
      <c r="CL48">
        <v>4</v>
      </c>
      <c r="CM48">
        <v>9</v>
      </c>
      <c r="CN48" s="14">
        <f t="shared" si="53"/>
        <v>4</v>
      </c>
      <c r="CO48" s="14">
        <f t="shared" si="54"/>
        <v>9</v>
      </c>
      <c r="CP48" s="12"/>
      <c r="CT48">
        <v>1371</v>
      </c>
      <c r="CU48">
        <v>8241</v>
      </c>
      <c r="CV48">
        <v>3</v>
      </c>
      <c r="CW48">
        <v>805</v>
      </c>
      <c r="CX48">
        <v>51</v>
      </c>
      <c r="CY48">
        <v>175</v>
      </c>
      <c r="DJ48">
        <v>10</v>
      </c>
      <c r="DK48">
        <v>44</v>
      </c>
      <c r="DT48">
        <v>30</v>
      </c>
      <c r="DU48">
        <v>96</v>
      </c>
      <c r="DV48" s="3">
        <f t="shared" si="55"/>
        <v>1465</v>
      </c>
      <c r="DW48" s="3">
        <f t="shared" si="56"/>
        <v>9361</v>
      </c>
      <c r="DY48">
        <v>7</v>
      </c>
      <c r="DZ48">
        <v>920</v>
      </c>
      <c r="EG48">
        <v>6</v>
      </c>
      <c r="EH48">
        <v>1039</v>
      </c>
      <c r="EI48">
        <v>6</v>
      </c>
      <c r="EJ48">
        <v>42</v>
      </c>
      <c r="EK48" s="3">
        <f t="shared" si="57"/>
        <v>19</v>
      </c>
      <c r="EL48" s="3">
        <f t="shared" si="58"/>
        <v>2001</v>
      </c>
      <c r="EM48" s="5">
        <f t="shared" si="59"/>
        <v>1488</v>
      </c>
      <c r="EN48" s="5">
        <f t="shared" si="60"/>
        <v>11371</v>
      </c>
      <c r="EO48" s="10">
        <f t="shared" si="61"/>
        <v>7.641801075268817</v>
      </c>
      <c r="EU48">
        <v>1</v>
      </c>
      <c r="EV48">
        <v>1</v>
      </c>
      <c r="EY48" s="3">
        <f t="shared" si="62"/>
        <v>1</v>
      </c>
      <c r="EZ48" s="3">
        <f t="shared" si="63"/>
        <v>1</v>
      </c>
      <c r="FD48">
        <v>76</v>
      </c>
      <c r="FE48">
        <v>273</v>
      </c>
      <c r="FF48">
        <v>723</v>
      </c>
      <c r="FG48">
        <v>890</v>
      </c>
      <c r="FH48" s="3">
        <f t="shared" si="64"/>
        <v>799</v>
      </c>
      <c r="FI48" s="3">
        <f t="shared" si="65"/>
        <v>1163</v>
      </c>
      <c r="FK48">
        <v>3</v>
      </c>
      <c r="FL48">
        <v>10</v>
      </c>
      <c r="FO48">
        <v>31</v>
      </c>
      <c r="FP48">
        <v>81</v>
      </c>
      <c r="FQ48" s="3">
        <f t="shared" si="66"/>
        <v>34</v>
      </c>
      <c r="FR48" s="3">
        <f t="shared" si="67"/>
        <v>91</v>
      </c>
      <c r="FV48">
        <v>80</v>
      </c>
      <c r="FW48">
        <v>149</v>
      </c>
      <c r="FX48">
        <v>25</v>
      </c>
      <c r="FY48">
        <v>65</v>
      </c>
      <c r="FZ48">
        <v>8</v>
      </c>
      <c r="GA48">
        <v>14</v>
      </c>
      <c r="GB48" s="3">
        <f t="shared" si="68"/>
        <v>113</v>
      </c>
      <c r="GC48" s="3">
        <f t="shared" si="69"/>
        <v>228</v>
      </c>
      <c r="GE48">
        <v>44</v>
      </c>
      <c r="GF48">
        <v>99</v>
      </c>
      <c r="GG48">
        <v>4</v>
      </c>
      <c r="GH48">
        <v>4</v>
      </c>
      <c r="GK48">
        <v>648</v>
      </c>
      <c r="GL48">
        <v>1188</v>
      </c>
      <c r="GO48">
        <v>4</v>
      </c>
      <c r="GP48">
        <v>7</v>
      </c>
      <c r="GQ48">
        <v>6</v>
      </c>
      <c r="GR48">
        <v>24</v>
      </c>
      <c r="GS48" s="3">
        <f t="shared" si="70"/>
        <v>706</v>
      </c>
      <c r="GT48" s="3">
        <f t="shared" si="71"/>
        <v>1322</v>
      </c>
      <c r="GU48" s="5">
        <f t="shared" si="72"/>
        <v>1653</v>
      </c>
      <c r="GV48" s="5">
        <f t="shared" si="73"/>
        <v>2805</v>
      </c>
      <c r="GW48" s="10">
        <f t="shared" si="74"/>
        <v>1.6969147005444647</v>
      </c>
      <c r="GZ48">
        <v>1</v>
      </c>
      <c r="HA48">
        <v>1</v>
      </c>
      <c r="HB48">
        <v>42</v>
      </c>
      <c r="HC48">
        <v>372</v>
      </c>
      <c r="HD48">
        <v>45</v>
      </c>
      <c r="HE48">
        <v>151</v>
      </c>
      <c r="HF48">
        <v>341</v>
      </c>
      <c r="HG48">
        <v>614</v>
      </c>
      <c r="HH48">
        <v>622</v>
      </c>
      <c r="HI48">
        <v>1030</v>
      </c>
      <c r="HJ48">
        <v>67</v>
      </c>
      <c r="HK48">
        <v>133</v>
      </c>
      <c r="HL48">
        <v>14</v>
      </c>
      <c r="HM48">
        <v>33</v>
      </c>
      <c r="HN48">
        <v>3</v>
      </c>
      <c r="HO48">
        <v>6</v>
      </c>
      <c r="HP48" s="3">
        <f t="shared" si="75"/>
        <v>1135</v>
      </c>
      <c r="HQ48" s="3">
        <f t="shared" si="76"/>
        <v>2340</v>
      </c>
      <c r="HV48">
        <v>318</v>
      </c>
      <c r="HW48">
        <v>595</v>
      </c>
      <c r="HX48">
        <v>97</v>
      </c>
      <c r="HY48">
        <v>218</v>
      </c>
      <c r="HZ48">
        <v>6</v>
      </c>
      <c r="IA48">
        <v>28</v>
      </c>
      <c r="IB48">
        <v>1</v>
      </c>
      <c r="IC48">
        <v>1</v>
      </c>
      <c r="ID48" s="3">
        <f t="shared" si="77"/>
        <v>422</v>
      </c>
      <c r="IE48" s="3">
        <f t="shared" si="78"/>
        <v>842</v>
      </c>
      <c r="IF48" s="3"/>
      <c r="II48">
        <v>10</v>
      </c>
      <c r="IJ48">
        <v>56</v>
      </c>
      <c r="IK48" s="3">
        <f t="shared" si="79"/>
        <v>10</v>
      </c>
      <c r="IL48" s="3">
        <f t="shared" si="80"/>
        <v>56</v>
      </c>
      <c r="IR48">
        <v>2</v>
      </c>
      <c r="IS48">
        <v>7</v>
      </c>
      <c r="IV48">
        <v>464</v>
      </c>
      <c r="IW48">
        <v>817</v>
      </c>
      <c r="IX48">
        <v>172</v>
      </c>
      <c r="IY48">
        <v>263</v>
      </c>
      <c r="IZ48">
        <v>43</v>
      </c>
      <c r="JA48">
        <v>57</v>
      </c>
      <c r="JB48">
        <v>26</v>
      </c>
      <c r="JC48">
        <v>49</v>
      </c>
      <c r="JD48">
        <v>1</v>
      </c>
      <c r="JE48">
        <v>1</v>
      </c>
      <c r="JF48" s="3">
        <f t="shared" si="81"/>
        <v>708</v>
      </c>
      <c r="JG48" s="3">
        <f t="shared" si="82"/>
        <v>1194</v>
      </c>
      <c r="JI48" s="5">
        <f t="shared" si="83"/>
        <v>2275</v>
      </c>
      <c r="JJ48" s="5">
        <f t="shared" si="84"/>
        <v>4432</v>
      </c>
      <c r="JK48" s="10">
        <f t="shared" si="85"/>
        <v>1.9481318681318682</v>
      </c>
      <c r="JN48">
        <v>2</v>
      </c>
      <c r="JO48">
        <v>5</v>
      </c>
      <c r="JR48">
        <v>3</v>
      </c>
      <c r="JS48">
        <v>79</v>
      </c>
      <c r="JT48">
        <v>109</v>
      </c>
      <c r="JU48">
        <v>189</v>
      </c>
      <c r="JV48">
        <v>70</v>
      </c>
      <c r="JW48">
        <v>183</v>
      </c>
      <c r="JX48">
        <v>4</v>
      </c>
      <c r="JY48">
        <v>4</v>
      </c>
      <c r="JZ48">
        <v>2</v>
      </c>
      <c r="KA48">
        <v>3</v>
      </c>
      <c r="KB48">
        <v>2</v>
      </c>
      <c r="KC48">
        <v>4</v>
      </c>
      <c r="KF48" s="3">
        <f t="shared" si="86"/>
        <v>192</v>
      </c>
      <c r="KG48" s="3">
        <f t="shared" si="87"/>
        <v>467</v>
      </c>
      <c r="KJ48">
        <f>2+1</f>
        <v>3</v>
      </c>
      <c r="KK48">
        <f>2+2</f>
        <v>4</v>
      </c>
      <c r="KL48">
        <v>3</v>
      </c>
      <c r="KM48">
        <v>36</v>
      </c>
      <c r="KN48">
        <v>1</v>
      </c>
      <c r="KO48">
        <v>9</v>
      </c>
      <c r="KP48" s="3">
        <f t="shared" si="88"/>
        <v>7</v>
      </c>
      <c r="KQ48" s="3">
        <f t="shared" si="89"/>
        <v>49</v>
      </c>
      <c r="KS48" s="5">
        <f t="shared" si="90"/>
        <v>199</v>
      </c>
      <c r="KT48" s="5">
        <f t="shared" si="91"/>
        <v>516</v>
      </c>
      <c r="KU48" s="10">
        <f t="shared" si="92"/>
        <v>2.5929648241206031</v>
      </c>
      <c r="KW48" s="5">
        <f t="shared" si="93"/>
        <v>6952</v>
      </c>
      <c r="KX48" s="5">
        <f t="shared" si="94"/>
        <v>23204</v>
      </c>
      <c r="KY48" s="10">
        <f t="shared" si="95"/>
        <v>3.3377445339470655</v>
      </c>
      <c r="LA48" s="15" t="s">
        <v>337</v>
      </c>
      <c r="LB48">
        <v>376800</v>
      </c>
      <c r="LD48" s="11">
        <f t="shared" si="96"/>
        <v>18.450106157112526</v>
      </c>
      <c r="LE48" s="11">
        <f t="shared" si="97"/>
        <v>61.581740976645435</v>
      </c>
    </row>
    <row r="49" spans="1:319" ht="15.75" x14ac:dyDescent="0.25">
      <c r="A49" s="22" t="s">
        <v>408</v>
      </c>
      <c r="B49" s="24" t="s">
        <v>338</v>
      </c>
      <c r="C49" s="1"/>
      <c r="D49" s="1"/>
      <c r="E49">
        <f>1+1</f>
        <v>2</v>
      </c>
      <c r="F49">
        <f>2+2</f>
        <v>4</v>
      </c>
      <c r="G49">
        <f>13+1+1</f>
        <v>15</v>
      </c>
      <c r="H49">
        <f>49+2+2</f>
        <v>53</v>
      </c>
      <c r="J49">
        <v>1</v>
      </c>
      <c r="K49">
        <v>1</v>
      </c>
      <c r="L49">
        <v>139</v>
      </c>
      <c r="M49">
        <v>363</v>
      </c>
      <c r="N49" s="3">
        <f t="shared" si="29"/>
        <v>140</v>
      </c>
      <c r="O49" s="3">
        <f t="shared" si="30"/>
        <v>364</v>
      </c>
      <c r="P49" s="5">
        <f t="shared" si="31"/>
        <v>157</v>
      </c>
      <c r="Q49" s="5">
        <f t="shared" si="32"/>
        <v>421</v>
      </c>
      <c r="R49" s="10">
        <f t="shared" si="33"/>
        <v>2.6815286624203822</v>
      </c>
      <c r="U49">
        <f>2+1+3+4+1</f>
        <v>11</v>
      </c>
      <c r="V49">
        <f>15+4+10+21+6</f>
        <v>56</v>
      </c>
      <c r="W49">
        <f>129+1+1</f>
        <v>131</v>
      </c>
      <c r="X49">
        <f>517+4+12</f>
        <v>533</v>
      </c>
      <c r="Y49">
        <v>64</v>
      </c>
      <c r="Z49">
        <v>245</v>
      </c>
      <c r="AA49" s="3">
        <f t="shared" si="34"/>
        <v>206</v>
      </c>
      <c r="AB49" s="3">
        <f t="shared" si="35"/>
        <v>834</v>
      </c>
      <c r="AD49">
        <v>6</v>
      </c>
      <c r="AE49">
        <v>43</v>
      </c>
      <c r="AF49">
        <v>6</v>
      </c>
      <c r="AG49">
        <v>46</v>
      </c>
      <c r="AI49">
        <f>1+2</f>
        <v>3</v>
      </c>
      <c r="AJ49">
        <f>5+12</f>
        <v>17</v>
      </c>
      <c r="AK49">
        <v>17</v>
      </c>
      <c r="AL49">
        <v>54</v>
      </c>
      <c r="AM49" s="3">
        <f t="shared" si="36"/>
        <v>20</v>
      </c>
      <c r="AN49" s="3">
        <f t="shared" si="37"/>
        <v>71</v>
      </c>
      <c r="AP49" s="5">
        <f t="shared" si="38"/>
        <v>238</v>
      </c>
      <c r="AQ49" s="5">
        <f t="shared" si="39"/>
        <v>994</v>
      </c>
      <c r="AR49" s="10">
        <f t="shared" si="40"/>
        <v>4.1764705882352944</v>
      </c>
      <c r="AU49">
        <v>4</v>
      </c>
      <c r="AV49">
        <v>75</v>
      </c>
      <c r="AW49">
        <v>33</v>
      </c>
      <c r="AX49">
        <v>87</v>
      </c>
      <c r="AY49" s="3">
        <f t="shared" si="41"/>
        <v>37</v>
      </c>
      <c r="AZ49" s="3">
        <f t="shared" si="42"/>
        <v>162</v>
      </c>
      <c r="BB49">
        <v>2</v>
      </c>
      <c r="BC49">
        <v>6</v>
      </c>
      <c r="BD49">
        <f>1+1</f>
        <v>2</v>
      </c>
      <c r="BE49">
        <f>18+17</f>
        <v>35</v>
      </c>
      <c r="BF49" s="13">
        <f t="shared" si="43"/>
        <v>41</v>
      </c>
      <c r="BG49" s="13">
        <f t="shared" si="44"/>
        <v>203</v>
      </c>
      <c r="BH49" s="10">
        <f t="shared" si="45"/>
        <v>4.9512195121951219</v>
      </c>
      <c r="BI49" s="10"/>
      <c r="BK49">
        <v>2</v>
      </c>
      <c r="BL49">
        <v>16</v>
      </c>
      <c r="BM49">
        <v>6</v>
      </c>
      <c r="BN49">
        <v>187</v>
      </c>
      <c r="BO49" s="14">
        <f t="shared" si="46"/>
        <v>8</v>
      </c>
      <c r="BP49" s="14">
        <f t="shared" si="47"/>
        <v>203</v>
      </c>
      <c r="BR49">
        <v>62</v>
      </c>
      <c r="BS49">
        <v>235</v>
      </c>
      <c r="BT49">
        <v>23</v>
      </c>
      <c r="BU49">
        <v>136</v>
      </c>
      <c r="BX49" s="14">
        <f t="shared" si="48"/>
        <v>85</v>
      </c>
      <c r="BY49" s="14">
        <f t="shared" si="49"/>
        <v>371</v>
      </c>
      <c r="CC49">
        <v>1</v>
      </c>
      <c r="CD49">
        <v>5</v>
      </c>
      <c r="CE49" s="13">
        <f t="shared" si="50"/>
        <v>94</v>
      </c>
      <c r="CF49" s="13">
        <f t="shared" si="51"/>
        <v>579</v>
      </c>
      <c r="CG49" s="10">
        <f t="shared" si="52"/>
        <v>6.1595744680851068</v>
      </c>
      <c r="CH49" s="10"/>
      <c r="CJ49">
        <v>3</v>
      </c>
      <c r="CK49">
        <v>15</v>
      </c>
      <c r="CL49">
        <v>3</v>
      </c>
      <c r="CM49">
        <v>15</v>
      </c>
      <c r="CN49" s="14">
        <f t="shared" si="53"/>
        <v>6</v>
      </c>
      <c r="CO49" s="14">
        <f t="shared" si="54"/>
        <v>30</v>
      </c>
      <c r="CP49" s="12"/>
      <c r="CT49">
        <v>412</v>
      </c>
      <c r="CU49">
        <v>3060</v>
      </c>
      <c r="CX49">
        <v>24</v>
      </c>
      <c r="CY49">
        <v>191</v>
      </c>
      <c r="DJ49">
        <v>2</v>
      </c>
      <c r="DK49">
        <v>38</v>
      </c>
      <c r="DT49">
        <v>19</v>
      </c>
      <c r="DU49">
        <v>89</v>
      </c>
      <c r="DV49" s="3">
        <f t="shared" si="55"/>
        <v>457</v>
      </c>
      <c r="DW49" s="3">
        <f t="shared" si="56"/>
        <v>3378</v>
      </c>
      <c r="DY49">
        <v>3</v>
      </c>
      <c r="DZ49">
        <v>159</v>
      </c>
      <c r="EI49">
        <v>7</v>
      </c>
      <c r="EJ49">
        <v>57</v>
      </c>
      <c r="EK49" s="3">
        <f t="shared" si="57"/>
        <v>10</v>
      </c>
      <c r="EL49" s="3">
        <f t="shared" si="58"/>
        <v>216</v>
      </c>
      <c r="EM49" s="5">
        <f t="shared" si="59"/>
        <v>473</v>
      </c>
      <c r="EN49" s="5">
        <f t="shared" si="60"/>
        <v>3624</v>
      </c>
      <c r="EO49" s="10">
        <f t="shared" si="61"/>
        <v>7.661733615221987</v>
      </c>
      <c r="EU49">
        <v>2</v>
      </c>
      <c r="EV49">
        <v>7</v>
      </c>
      <c r="EY49" s="3">
        <f t="shared" si="62"/>
        <v>2</v>
      </c>
      <c r="EZ49" s="3">
        <f t="shared" si="63"/>
        <v>7</v>
      </c>
      <c r="FD49">
        <v>76</v>
      </c>
      <c r="FE49">
        <v>201</v>
      </c>
      <c r="FF49">
        <v>112</v>
      </c>
      <c r="FG49">
        <v>210</v>
      </c>
      <c r="FH49" s="3">
        <f t="shared" si="64"/>
        <v>188</v>
      </c>
      <c r="FI49" s="3">
        <f t="shared" si="65"/>
        <v>411</v>
      </c>
      <c r="FK49">
        <v>1</v>
      </c>
      <c r="FL49">
        <v>13</v>
      </c>
      <c r="FO49">
        <v>15</v>
      </c>
      <c r="FP49">
        <v>44</v>
      </c>
      <c r="FQ49" s="3">
        <f t="shared" si="66"/>
        <v>16</v>
      </c>
      <c r="FR49" s="3">
        <f t="shared" si="67"/>
        <v>57</v>
      </c>
      <c r="FT49">
        <v>1</v>
      </c>
      <c r="FU49">
        <v>2</v>
      </c>
      <c r="FV49">
        <v>39</v>
      </c>
      <c r="FW49">
        <v>86</v>
      </c>
      <c r="FX49">
        <v>3</v>
      </c>
      <c r="FY49">
        <v>21</v>
      </c>
      <c r="FZ49">
        <v>2</v>
      </c>
      <c r="GA49">
        <v>10</v>
      </c>
      <c r="GB49" s="3">
        <f t="shared" si="68"/>
        <v>45</v>
      </c>
      <c r="GC49" s="3">
        <f t="shared" si="69"/>
        <v>119</v>
      </c>
      <c r="GE49">
        <f>3+12+4</f>
        <v>19</v>
      </c>
      <c r="GF49">
        <f>7+34+8</f>
        <v>49</v>
      </c>
      <c r="GI49">
        <v>5</v>
      </c>
      <c r="GJ49">
        <v>5</v>
      </c>
      <c r="GK49">
        <v>258</v>
      </c>
      <c r="GL49">
        <v>774</v>
      </c>
      <c r="GO49">
        <v>8</v>
      </c>
      <c r="GP49">
        <v>86</v>
      </c>
      <c r="GQ49">
        <v>5</v>
      </c>
      <c r="GR49">
        <v>21</v>
      </c>
      <c r="GS49" s="3">
        <f t="shared" si="70"/>
        <v>295</v>
      </c>
      <c r="GT49" s="3">
        <f t="shared" si="71"/>
        <v>935</v>
      </c>
      <c r="GU49" s="5">
        <f t="shared" si="72"/>
        <v>546</v>
      </c>
      <c r="GV49" s="5">
        <f t="shared" si="73"/>
        <v>1529</v>
      </c>
      <c r="GW49" s="10">
        <f t="shared" si="74"/>
        <v>2.8003663003663002</v>
      </c>
      <c r="GZ49">
        <v>48</v>
      </c>
      <c r="HA49">
        <v>82</v>
      </c>
      <c r="HB49">
        <v>16</v>
      </c>
      <c r="HC49">
        <v>82</v>
      </c>
      <c r="HD49">
        <v>1</v>
      </c>
      <c r="HE49">
        <v>12</v>
      </c>
      <c r="HF49">
        <v>230</v>
      </c>
      <c r="HG49">
        <v>700</v>
      </c>
      <c r="HH49">
        <v>136</v>
      </c>
      <c r="HI49">
        <v>345</v>
      </c>
      <c r="HJ49">
        <v>15</v>
      </c>
      <c r="HK49">
        <v>54</v>
      </c>
      <c r="HL49">
        <v>4</v>
      </c>
      <c r="HM49">
        <v>16</v>
      </c>
      <c r="HN49">
        <v>3</v>
      </c>
      <c r="HO49">
        <v>26</v>
      </c>
      <c r="HP49" s="3">
        <f t="shared" si="75"/>
        <v>453</v>
      </c>
      <c r="HQ49" s="3">
        <f t="shared" si="76"/>
        <v>1317</v>
      </c>
      <c r="HV49">
        <v>138</v>
      </c>
      <c r="HW49">
        <v>517</v>
      </c>
      <c r="HX49">
        <v>30</v>
      </c>
      <c r="HY49">
        <v>123</v>
      </c>
      <c r="HZ49">
        <v>2</v>
      </c>
      <c r="IA49">
        <v>13</v>
      </c>
      <c r="IB49">
        <v>1</v>
      </c>
      <c r="IC49">
        <v>12</v>
      </c>
      <c r="ID49" s="3">
        <f t="shared" si="77"/>
        <v>171</v>
      </c>
      <c r="IE49" s="3">
        <f t="shared" si="78"/>
        <v>665</v>
      </c>
      <c r="IF49" s="3"/>
      <c r="II49">
        <v>6</v>
      </c>
      <c r="IJ49">
        <v>37</v>
      </c>
      <c r="IK49" s="3">
        <f t="shared" si="79"/>
        <v>6</v>
      </c>
      <c r="IL49" s="3">
        <f t="shared" si="80"/>
        <v>37</v>
      </c>
      <c r="IR49">
        <v>1</v>
      </c>
      <c r="IS49">
        <v>4</v>
      </c>
      <c r="IV49">
        <v>210</v>
      </c>
      <c r="IW49">
        <v>533</v>
      </c>
      <c r="IX49">
        <v>55</v>
      </c>
      <c r="IY49">
        <v>167</v>
      </c>
      <c r="IZ49">
        <v>26</v>
      </c>
      <c r="JA49">
        <v>88</v>
      </c>
      <c r="JB49">
        <v>17</v>
      </c>
      <c r="JC49">
        <v>34</v>
      </c>
      <c r="JD49">
        <v>1</v>
      </c>
      <c r="JE49">
        <v>1</v>
      </c>
      <c r="JF49" s="3">
        <f t="shared" si="81"/>
        <v>310</v>
      </c>
      <c r="JG49" s="3">
        <f t="shared" si="82"/>
        <v>827</v>
      </c>
      <c r="JI49" s="5">
        <f t="shared" si="83"/>
        <v>940</v>
      </c>
      <c r="JJ49" s="5">
        <f t="shared" si="84"/>
        <v>2846</v>
      </c>
      <c r="JK49" s="10">
        <f t="shared" si="85"/>
        <v>3.027659574468085</v>
      </c>
      <c r="JN49">
        <v>1</v>
      </c>
      <c r="JO49">
        <v>3</v>
      </c>
      <c r="JR49">
        <v>5</v>
      </c>
      <c r="JS49">
        <v>69</v>
      </c>
      <c r="JT49">
        <v>56</v>
      </c>
      <c r="JU49">
        <v>127</v>
      </c>
      <c r="JV49">
        <v>78</v>
      </c>
      <c r="JW49">
        <v>219</v>
      </c>
      <c r="JX49">
        <v>1</v>
      </c>
      <c r="JY49">
        <v>4</v>
      </c>
      <c r="JZ49">
        <v>3</v>
      </c>
      <c r="KA49">
        <v>7</v>
      </c>
      <c r="KB49">
        <v>9</v>
      </c>
      <c r="KC49">
        <v>16</v>
      </c>
      <c r="KD49">
        <v>1</v>
      </c>
      <c r="KE49">
        <v>1</v>
      </c>
      <c r="KF49" s="3">
        <f t="shared" si="86"/>
        <v>154</v>
      </c>
      <c r="KG49" s="3">
        <f t="shared" si="87"/>
        <v>446</v>
      </c>
      <c r="KJ49">
        <f>2+1+4</f>
        <v>7</v>
      </c>
      <c r="KK49">
        <f>3+12+15</f>
        <v>30</v>
      </c>
      <c r="KL49">
        <v>2</v>
      </c>
      <c r="KM49">
        <v>8</v>
      </c>
      <c r="KN49">
        <v>1</v>
      </c>
      <c r="KO49">
        <v>2</v>
      </c>
      <c r="KP49" s="3">
        <f t="shared" si="88"/>
        <v>10</v>
      </c>
      <c r="KQ49" s="3">
        <f t="shared" si="89"/>
        <v>40</v>
      </c>
      <c r="KS49" s="5">
        <f t="shared" si="90"/>
        <v>164</v>
      </c>
      <c r="KT49" s="5">
        <f t="shared" si="91"/>
        <v>486</v>
      </c>
      <c r="KU49" s="10">
        <f t="shared" si="92"/>
        <v>2.9634146341463414</v>
      </c>
      <c r="KW49" s="5">
        <f t="shared" si="93"/>
        <v>2653</v>
      </c>
      <c r="KX49" s="5">
        <f t="shared" si="94"/>
        <v>10682</v>
      </c>
      <c r="KY49" s="10">
        <f t="shared" si="95"/>
        <v>4.0263852242744065</v>
      </c>
      <c r="LA49" s="15" t="s">
        <v>339</v>
      </c>
      <c r="LB49">
        <v>219209</v>
      </c>
      <c r="LD49" s="11">
        <f t="shared" si="96"/>
        <v>12.102605276243221</v>
      </c>
      <c r="LE49" s="11">
        <f t="shared" si="97"/>
        <v>48.729751059491171</v>
      </c>
      <c r="LG49" s="10"/>
    </row>
    <row r="50" spans="1:319" ht="15.75" x14ac:dyDescent="0.25">
      <c r="A50" s="22" t="s">
        <v>409</v>
      </c>
      <c r="B50" s="24" t="s">
        <v>340</v>
      </c>
      <c r="C50" s="1"/>
      <c r="D50" s="1"/>
      <c r="E50">
        <v>1</v>
      </c>
      <c r="F50">
        <v>2</v>
      </c>
      <c r="G50">
        <f>15+3+1+3</f>
        <v>22</v>
      </c>
      <c r="H50">
        <f>166+15+6+4</f>
        <v>191</v>
      </c>
      <c r="L50">
        <v>42</v>
      </c>
      <c r="M50">
        <v>103</v>
      </c>
      <c r="N50" s="3">
        <f t="shared" si="29"/>
        <v>42</v>
      </c>
      <c r="O50" s="3">
        <f t="shared" si="30"/>
        <v>103</v>
      </c>
      <c r="P50" s="5">
        <f t="shared" si="31"/>
        <v>65</v>
      </c>
      <c r="Q50" s="5">
        <f t="shared" si="32"/>
        <v>296</v>
      </c>
      <c r="R50" s="10">
        <f t="shared" si="33"/>
        <v>4.5538461538461537</v>
      </c>
      <c r="U50">
        <f>3+2+7+5+2+3</f>
        <v>22</v>
      </c>
      <c r="V50">
        <f>11+6+23+9+3+10</f>
        <v>62</v>
      </c>
      <c r="W50">
        <f>162+6+2</f>
        <v>170</v>
      </c>
      <c r="X50">
        <f>451+7+7</f>
        <v>465</v>
      </c>
      <c r="Y50">
        <v>36</v>
      </c>
      <c r="Z50">
        <v>235</v>
      </c>
      <c r="AA50" s="3">
        <f t="shared" si="34"/>
        <v>228</v>
      </c>
      <c r="AB50" s="3">
        <f t="shared" si="35"/>
        <v>762</v>
      </c>
      <c r="AD50">
        <f>8+2</f>
        <v>10</v>
      </c>
      <c r="AE50">
        <f>60+4</f>
        <v>64</v>
      </c>
      <c r="AF50">
        <v>12</v>
      </c>
      <c r="AG50">
        <v>168</v>
      </c>
      <c r="AI50">
        <f>2+1+5</f>
        <v>8</v>
      </c>
      <c r="AJ50">
        <f>3+8+12</f>
        <v>23</v>
      </c>
      <c r="AK50">
        <v>14</v>
      </c>
      <c r="AL50">
        <v>124</v>
      </c>
      <c r="AM50" s="3">
        <f t="shared" si="36"/>
        <v>22</v>
      </c>
      <c r="AN50" s="3">
        <f t="shared" si="37"/>
        <v>147</v>
      </c>
      <c r="AP50" s="5">
        <f t="shared" si="38"/>
        <v>272</v>
      </c>
      <c r="AQ50" s="5">
        <f t="shared" si="39"/>
        <v>1141</v>
      </c>
      <c r="AR50" s="10">
        <f t="shared" si="40"/>
        <v>4.194852941176471</v>
      </c>
      <c r="AU50">
        <v>9</v>
      </c>
      <c r="AV50">
        <v>171</v>
      </c>
      <c r="AW50">
        <v>70</v>
      </c>
      <c r="AX50">
        <v>121</v>
      </c>
      <c r="AY50" s="3">
        <f t="shared" si="41"/>
        <v>79</v>
      </c>
      <c r="AZ50" s="3">
        <f t="shared" si="42"/>
        <v>292</v>
      </c>
      <c r="BB50">
        <v>1</v>
      </c>
      <c r="BC50">
        <v>107</v>
      </c>
      <c r="BD50">
        <v>8</v>
      </c>
      <c r="BE50">
        <v>72</v>
      </c>
      <c r="BF50" s="13">
        <f t="shared" si="43"/>
        <v>88</v>
      </c>
      <c r="BG50" s="13">
        <f t="shared" si="44"/>
        <v>471</v>
      </c>
      <c r="BH50" s="10">
        <f t="shared" si="45"/>
        <v>5.3522727272727275</v>
      </c>
      <c r="BI50" s="10"/>
      <c r="BM50">
        <v>14</v>
      </c>
      <c r="BN50">
        <v>384</v>
      </c>
      <c r="BO50" s="14">
        <f t="shared" si="46"/>
        <v>14</v>
      </c>
      <c r="BP50" s="14">
        <f t="shared" si="47"/>
        <v>384</v>
      </c>
      <c r="BR50">
        <v>1</v>
      </c>
      <c r="BS50">
        <v>29</v>
      </c>
      <c r="BT50">
        <v>16</v>
      </c>
      <c r="BU50">
        <v>241</v>
      </c>
      <c r="BX50" s="14">
        <f t="shared" si="48"/>
        <v>17</v>
      </c>
      <c r="BY50" s="14">
        <f t="shared" si="49"/>
        <v>270</v>
      </c>
      <c r="CC50">
        <f>1+5</f>
        <v>6</v>
      </c>
      <c r="CD50">
        <f>14+21</f>
        <v>35</v>
      </c>
      <c r="CE50" s="13">
        <f t="shared" si="50"/>
        <v>37</v>
      </c>
      <c r="CF50" s="13">
        <f t="shared" si="51"/>
        <v>689</v>
      </c>
      <c r="CG50" s="10">
        <f t="shared" si="52"/>
        <v>18.621621621621621</v>
      </c>
      <c r="CH50" s="10"/>
      <c r="CJ50">
        <v>5</v>
      </c>
      <c r="CK50">
        <v>88</v>
      </c>
      <c r="CL50">
        <v>1</v>
      </c>
      <c r="CM50">
        <v>9</v>
      </c>
      <c r="CN50" s="14">
        <f t="shared" si="53"/>
        <v>6</v>
      </c>
      <c r="CO50" s="14">
        <f t="shared" si="54"/>
        <v>97</v>
      </c>
      <c r="CP50" s="12"/>
      <c r="CT50">
        <v>334</v>
      </c>
      <c r="CU50">
        <v>2498</v>
      </c>
      <c r="CX50">
        <v>49</v>
      </c>
      <c r="CY50">
        <v>726</v>
      </c>
      <c r="DJ50">
        <v>6</v>
      </c>
      <c r="DK50">
        <v>76</v>
      </c>
      <c r="DR50">
        <v>2</v>
      </c>
      <c r="DS50">
        <v>3</v>
      </c>
      <c r="DT50">
        <v>4</v>
      </c>
      <c r="DU50">
        <v>49</v>
      </c>
      <c r="DV50" s="3">
        <f t="shared" si="55"/>
        <v>395</v>
      </c>
      <c r="DW50" s="3">
        <f t="shared" si="56"/>
        <v>3352</v>
      </c>
      <c r="DY50">
        <v>5</v>
      </c>
      <c r="DZ50">
        <v>248</v>
      </c>
      <c r="EI50">
        <v>1</v>
      </c>
      <c r="EJ50">
        <v>6</v>
      </c>
      <c r="EK50" s="3">
        <f t="shared" si="57"/>
        <v>6</v>
      </c>
      <c r="EL50" s="3">
        <f t="shared" si="58"/>
        <v>254</v>
      </c>
      <c r="EM50" s="5">
        <f t="shared" si="59"/>
        <v>407</v>
      </c>
      <c r="EN50" s="5">
        <f t="shared" si="60"/>
        <v>3703</v>
      </c>
      <c r="EO50" s="10">
        <f t="shared" si="61"/>
        <v>9.0982800982800978</v>
      </c>
      <c r="EU50">
        <v>2</v>
      </c>
      <c r="EV50">
        <v>2</v>
      </c>
      <c r="EY50" s="3">
        <f t="shared" si="62"/>
        <v>2</v>
      </c>
      <c r="EZ50" s="3">
        <f t="shared" si="63"/>
        <v>2</v>
      </c>
      <c r="FD50">
        <v>6</v>
      </c>
      <c r="FE50">
        <v>69</v>
      </c>
      <c r="FF50">
        <v>50</v>
      </c>
      <c r="FG50">
        <v>67</v>
      </c>
      <c r="FH50" s="3">
        <f t="shared" si="64"/>
        <v>56</v>
      </c>
      <c r="FI50" s="3">
        <f t="shared" si="65"/>
        <v>136</v>
      </c>
      <c r="FO50">
        <v>2</v>
      </c>
      <c r="FP50">
        <v>6</v>
      </c>
      <c r="FQ50" s="3">
        <f t="shared" si="66"/>
        <v>2</v>
      </c>
      <c r="FR50" s="3">
        <f t="shared" si="67"/>
        <v>6</v>
      </c>
      <c r="FX50">
        <v>20</v>
      </c>
      <c r="FY50">
        <v>41</v>
      </c>
      <c r="FZ50">
        <v>12</v>
      </c>
      <c r="GA50">
        <v>54</v>
      </c>
      <c r="GB50" s="3">
        <f t="shared" si="68"/>
        <v>32</v>
      </c>
      <c r="GC50" s="3">
        <f t="shared" si="69"/>
        <v>95</v>
      </c>
      <c r="GE50">
        <f>5+1</f>
        <v>6</v>
      </c>
      <c r="GF50">
        <f>15+19</f>
        <v>34</v>
      </c>
      <c r="GG50">
        <v>2</v>
      </c>
      <c r="GH50">
        <v>17</v>
      </c>
      <c r="GI50">
        <v>24</v>
      </c>
      <c r="GJ50">
        <v>13</v>
      </c>
      <c r="GK50">
        <v>264</v>
      </c>
      <c r="GL50">
        <v>921</v>
      </c>
      <c r="GO50">
        <v>11</v>
      </c>
      <c r="GP50">
        <v>65</v>
      </c>
      <c r="GS50" s="3">
        <f t="shared" si="70"/>
        <v>307</v>
      </c>
      <c r="GT50" s="3">
        <f t="shared" si="71"/>
        <v>1050</v>
      </c>
      <c r="GU50" s="5">
        <f t="shared" si="72"/>
        <v>399</v>
      </c>
      <c r="GV50" s="5">
        <f t="shared" si="73"/>
        <v>1289</v>
      </c>
      <c r="GW50" s="10">
        <f t="shared" si="74"/>
        <v>3.2305764411027571</v>
      </c>
      <c r="GZ50">
        <f>135+1</f>
        <v>136</v>
      </c>
      <c r="HA50">
        <f>249+2</f>
        <v>251</v>
      </c>
      <c r="HB50">
        <v>83</v>
      </c>
      <c r="HC50">
        <v>346</v>
      </c>
      <c r="HF50">
        <v>280</v>
      </c>
      <c r="HG50">
        <v>1684</v>
      </c>
      <c r="HH50">
        <v>51</v>
      </c>
      <c r="HI50">
        <v>70</v>
      </c>
      <c r="HJ50">
        <v>38</v>
      </c>
      <c r="HK50">
        <v>124</v>
      </c>
      <c r="HL50">
        <v>20</v>
      </c>
      <c r="HM50">
        <v>125</v>
      </c>
      <c r="HN50">
        <v>6</v>
      </c>
      <c r="HO50">
        <v>19</v>
      </c>
      <c r="HP50" s="3">
        <f t="shared" si="75"/>
        <v>614</v>
      </c>
      <c r="HQ50" s="3">
        <f t="shared" si="76"/>
        <v>2619</v>
      </c>
      <c r="HV50">
        <v>47</v>
      </c>
      <c r="HW50">
        <v>143</v>
      </c>
      <c r="HX50">
        <v>21</v>
      </c>
      <c r="HY50">
        <v>154</v>
      </c>
      <c r="HZ50">
        <v>9</v>
      </c>
      <c r="IA50">
        <v>15</v>
      </c>
      <c r="IB50">
        <v>10</v>
      </c>
      <c r="IC50">
        <v>55</v>
      </c>
      <c r="ID50" s="3">
        <f t="shared" si="77"/>
        <v>87</v>
      </c>
      <c r="IE50" s="3">
        <f t="shared" si="78"/>
        <v>367</v>
      </c>
      <c r="IF50" s="3"/>
      <c r="IG50">
        <v>2</v>
      </c>
      <c r="IH50">
        <v>24</v>
      </c>
      <c r="II50">
        <v>9</v>
      </c>
      <c r="IJ50">
        <v>44</v>
      </c>
      <c r="IK50" s="3">
        <f t="shared" si="79"/>
        <v>11</v>
      </c>
      <c r="IL50" s="3">
        <f t="shared" si="80"/>
        <v>68</v>
      </c>
      <c r="IN50">
        <f>1+1+1</f>
        <v>3</v>
      </c>
      <c r="IO50">
        <f>10+8+4</f>
        <v>22</v>
      </c>
      <c r="IR50">
        <f>6+1+2+1+2</f>
        <v>12</v>
      </c>
      <c r="IS50">
        <f>99+2+1+10+3</f>
        <v>115</v>
      </c>
      <c r="IV50">
        <v>113</v>
      </c>
      <c r="IW50">
        <v>471</v>
      </c>
      <c r="IX50">
        <v>51</v>
      </c>
      <c r="IY50">
        <v>143</v>
      </c>
      <c r="IZ50">
        <v>13</v>
      </c>
      <c r="JA50">
        <v>54</v>
      </c>
      <c r="JB50">
        <v>6</v>
      </c>
      <c r="JC50">
        <v>17</v>
      </c>
      <c r="JD50">
        <v>4</v>
      </c>
      <c r="JE50">
        <v>6</v>
      </c>
      <c r="JF50" s="3">
        <f t="shared" si="81"/>
        <v>199</v>
      </c>
      <c r="JG50" s="3">
        <f t="shared" si="82"/>
        <v>806</v>
      </c>
      <c r="JI50" s="5">
        <f t="shared" si="83"/>
        <v>914</v>
      </c>
      <c r="JJ50" s="5">
        <f t="shared" si="84"/>
        <v>3882</v>
      </c>
      <c r="JK50" s="10">
        <f t="shared" si="85"/>
        <v>4.2472647702407</v>
      </c>
      <c r="JN50">
        <v>1</v>
      </c>
      <c r="JO50">
        <v>2</v>
      </c>
      <c r="JR50">
        <v>7</v>
      </c>
      <c r="JS50">
        <v>175</v>
      </c>
      <c r="JT50">
        <v>64</v>
      </c>
      <c r="JU50">
        <v>92</v>
      </c>
      <c r="JV50">
        <v>77</v>
      </c>
      <c r="JW50">
        <v>200</v>
      </c>
      <c r="JX50">
        <v>13</v>
      </c>
      <c r="JY50">
        <v>40</v>
      </c>
      <c r="KB50">
        <v>9</v>
      </c>
      <c r="KC50">
        <v>15</v>
      </c>
      <c r="KD50">
        <v>14</v>
      </c>
      <c r="KE50">
        <v>25</v>
      </c>
      <c r="KF50" s="3">
        <f t="shared" si="86"/>
        <v>185</v>
      </c>
      <c r="KG50" s="3">
        <f t="shared" si="87"/>
        <v>549</v>
      </c>
      <c r="KJ50">
        <f>4+2+1+3+1</f>
        <v>11</v>
      </c>
      <c r="KK50">
        <f>27+7+1+4+2</f>
        <v>41</v>
      </c>
      <c r="KL50">
        <v>6</v>
      </c>
      <c r="KM50">
        <v>261</v>
      </c>
      <c r="KN50">
        <v>1</v>
      </c>
      <c r="KO50">
        <v>4</v>
      </c>
      <c r="KP50" s="3">
        <f t="shared" si="88"/>
        <v>18</v>
      </c>
      <c r="KQ50" s="3">
        <f t="shared" si="89"/>
        <v>306</v>
      </c>
      <c r="KS50" s="5">
        <f t="shared" si="90"/>
        <v>203</v>
      </c>
      <c r="KT50" s="5">
        <f t="shared" si="91"/>
        <v>855</v>
      </c>
      <c r="KU50" s="10">
        <f t="shared" si="92"/>
        <v>4.2118226600985222</v>
      </c>
      <c r="KW50" s="5">
        <f t="shared" si="93"/>
        <v>2385</v>
      </c>
      <c r="KX50" s="5">
        <f t="shared" si="94"/>
        <v>12326</v>
      </c>
      <c r="KY50" s="10">
        <f t="shared" si="95"/>
        <v>5.1681341719077567</v>
      </c>
      <c r="LA50" s="15" t="s">
        <v>341</v>
      </c>
      <c r="LB50">
        <v>262594</v>
      </c>
      <c r="LD50" s="11">
        <f t="shared" si="96"/>
        <v>9.0824618993579449</v>
      </c>
      <c r="LE50" s="11">
        <f t="shared" si="97"/>
        <v>46.939381707122024</v>
      </c>
    </row>
    <row r="51" spans="1:319" ht="15.75" x14ac:dyDescent="0.25">
      <c r="A51" s="22" t="s">
        <v>410</v>
      </c>
      <c r="B51" s="24" t="s">
        <v>342</v>
      </c>
      <c r="C51" s="1"/>
      <c r="D51" s="1"/>
      <c r="E51">
        <v>1</v>
      </c>
      <c r="F51">
        <v>2</v>
      </c>
      <c r="G51">
        <f>5+2</f>
        <v>7</v>
      </c>
      <c r="H51">
        <f>24+2</f>
        <v>26</v>
      </c>
      <c r="L51">
        <v>51</v>
      </c>
      <c r="M51">
        <v>78</v>
      </c>
      <c r="N51" s="3">
        <f t="shared" si="29"/>
        <v>51</v>
      </c>
      <c r="O51" s="3">
        <f t="shared" si="30"/>
        <v>78</v>
      </c>
      <c r="P51" s="5">
        <f t="shared" si="31"/>
        <v>59</v>
      </c>
      <c r="Q51" s="5">
        <f t="shared" si="32"/>
        <v>106</v>
      </c>
      <c r="R51" s="10">
        <f t="shared" si="33"/>
        <v>1.7966101694915255</v>
      </c>
      <c r="U51">
        <f>6+1</f>
        <v>7</v>
      </c>
      <c r="V51">
        <f>10+9</f>
        <v>19</v>
      </c>
      <c r="W51">
        <f>129+5+2</f>
        <v>136</v>
      </c>
      <c r="X51">
        <f>186+8+30</f>
        <v>224</v>
      </c>
      <c r="Y51">
        <v>27</v>
      </c>
      <c r="Z51">
        <v>73</v>
      </c>
      <c r="AA51" s="3">
        <f t="shared" si="34"/>
        <v>170</v>
      </c>
      <c r="AB51" s="3">
        <f t="shared" si="35"/>
        <v>316</v>
      </c>
      <c r="AD51">
        <v>4</v>
      </c>
      <c r="AE51">
        <v>20</v>
      </c>
      <c r="AI51">
        <f>1+1</f>
        <v>2</v>
      </c>
      <c r="AJ51">
        <f>6+7</f>
        <v>13</v>
      </c>
      <c r="AK51">
        <v>4</v>
      </c>
      <c r="AL51">
        <v>16</v>
      </c>
      <c r="AM51" s="3">
        <f t="shared" si="36"/>
        <v>6</v>
      </c>
      <c r="AN51" s="3">
        <f t="shared" si="37"/>
        <v>29</v>
      </c>
      <c r="AP51" s="5">
        <f t="shared" si="38"/>
        <v>180</v>
      </c>
      <c r="AQ51" s="5">
        <f t="shared" si="39"/>
        <v>365</v>
      </c>
      <c r="AR51" s="10">
        <f t="shared" si="40"/>
        <v>2.0277777777777777</v>
      </c>
      <c r="AU51">
        <v>1</v>
      </c>
      <c r="AV51">
        <v>28</v>
      </c>
      <c r="AW51">
        <v>39</v>
      </c>
      <c r="AX51">
        <v>47</v>
      </c>
      <c r="AY51" s="3">
        <f t="shared" si="41"/>
        <v>40</v>
      </c>
      <c r="AZ51" s="3">
        <f t="shared" si="42"/>
        <v>75</v>
      </c>
      <c r="BD51">
        <v>8</v>
      </c>
      <c r="BE51">
        <v>20</v>
      </c>
      <c r="BF51" s="13">
        <f t="shared" si="43"/>
        <v>48</v>
      </c>
      <c r="BG51" s="13">
        <f t="shared" si="44"/>
        <v>95</v>
      </c>
      <c r="BH51" s="10">
        <f t="shared" si="45"/>
        <v>1.9791666666666667</v>
      </c>
      <c r="BI51" s="10"/>
      <c r="BM51">
        <v>8</v>
      </c>
      <c r="BN51">
        <v>181</v>
      </c>
      <c r="BO51" s="14">
        <f t="shared" si="46"/>
        <v>8</v>
      </c>
      <c r="BP51" s="14">
        <f t="shared" si="47"/>
        <v>181</v>
      </c>
      <c r="BT51">
        <v>8</v>
      </c>
      <c r="BU51">
        <v>183</v>
      </c>
      <c r="BX51" s="14">
        <f t="shared" si="48"/>
        <v>8</v>
      </c>
      <c r="BY51" s="14">
        <f t="shared" si="49"/>
        <v>183</v>
      </c>
      <c r="CC51">
        <v>1</v>
      </c>
      <c r="CD51">
        <v>6</v>
      </c>
      <c r="CE51" s="13">
        <f t="shared" si="50"/>
        <v>17</v>
      </c>
      <c r="CF51" s="13">
        <f t="shared" si="51"/>
        <v>370</v>
      </c>
      <c r="CG51" s="10">
        <f t="shared" si="52"/>
        <v>21.764705882352942</v>
      </c>
      <c r="CH51" s="10"/>
      <c r="CJ51">
        <v>4</v>
      </c>
      <c r="CK51">
        <v>15</v>
      </c>
      <c r="CN51" s="14">
        <f t="shared" si="53"/>
        <v>4</v>
      </c>
      <c r="CO51" s="14">
        <f t="shared" si="54"/>
        <v>15</v>
      </c>
      <c r="CP51" s="12"/>
      <c r="CT51">
        <v>94</v>
      </c>
      <c r="CU51">
        <v>637</v>
      </c>
      <c r="CX51">
        <v>27</v>
      </c>
      <c r="CY51">
        <v>341</v>
      </c>
      <c r="DJ51">
        <v>1</v>
      </c>
      <c r="DK51">
        <v>3</v>
      </c>
      <c r="DT51">
        <v>11</v>
      </c>
      <c r="DU51">
        <v>41</v>
      </c>
      <c r="DV51" s="3">
        <f t="shared" si="55"/>
        <v>133</v>
      </c>
      <c r="DW51" s="3">
        <f t="shared" si="56"/>
        <v>1022</v>
      </c>
      <c r="DY51">
        <v>5</v>
      </c>
      <c r="DZ51">
        <v>90</v>
      </c>
      <c r="EG51">
        <v>1</v>
      </c>
      <c r="EH51">
        <v>8</v>
      </c>
      <c r="EK51" s="3">
        <f t="shared" si="57"/>
        <v>6</v>
      </c>
      <c r="EL51" s="3">
        <f t="shared" si="58"/>
        <v>98</v>
      </c>
      <c r="EM51" s="5">
        <f t="shared" si="59"/>
        <v>143</v>
      </c>
      <c r="EN51" s="5">
        <f t="shared" si="60"/>
        <v>1135</v>
      </c>
      <c r="EO51" s="10">
        <f t="shared" si="61"/>
        <v>7.9370629370629366</v>
      </c>
      <c r="EU51">
        <v>1</v>
      </c>
      <c r="EV51">
        <v>1</v>
      </c>
      <c r="EY51" s="3">
        <f t="shared" si="62"/>
        <v>1</v>
      </c>
      <c r="EZ51" s="3">
        <f t="shared" si="63"/>
        <v>1</v>
      </c>
      <c r="FD51">
        <v>15</v>
      </c>
      <c r="FE51">
        <v>18</v>
      </c>
      <c r="FF51">
        <v>66</v>
      </c>
      <c r="FG51">
        <v>64</v>
      </c>
      <c r="FH51" s="3">
        <f t="shared" si="64"/>
        <v>81</v>
      </c>
      <c r="FI51" s="3">
        <f t="shared" si="65"/>
        <v>82</v>
      </c>
      <c r="FO51">
        <v>2</v>
      </c>
      <c r="FP51">
        <v>4</v>
      </c>
      <c r="FQ51" s="3">
        <f t="shared" si="66"/>
        <v>2</v>
      </c>
      <c r="FR51" s="3">
        <f t="shared" si="67"/>
        <v>4</v>
      </c>
      <c r="FX51">
        <v>3</v>
      </c>
      <c r="FY51">
        <v>5</v>
      </c>
      <c r="FZ51">
        <v>1</v>
      </c>
      <c r="GA51">
        <v>3</v>
      </c>
      <c r="GB51" s="3">
        <f t="shared" si="68"/>
        <v>4</v>
      </c>
      <c r="GC51" s="3">
        <f t="shared" si="69"/>
        <v>8</v>
      </c>
      <c r="GI51">
        <v>1</v>
      </c>
      <c r="GJ51">
        <v>1</v>
      </c>
      <c r="GK51">
        <v>147</v>
      </c>
      <c r="GL51">
        <v>327</v>
      </c>
      <c r="GS51" s="3">
        <f t="shared" si="70"/>
        <v>148</v>
      </c>
      <c r="GT51" s="3">
        <f t="shared" si="71"/>
        <v>328</v>
      </c>
      <c r="GU51" s="5">
        <f t="shared" si="72"/>
        <v>236</v>
      </c>
      <c r="GV51" s="5">
        <f t="shared" si="73"/>
        <v>423</v>
      </c>
      <c r="GW51" s="10">
        <f t="shared" si="74"/>
        <v>1.7923728813559323</v>
      </c>
      <c r="HB51">
        <v>4</v>
      </c>
      <c r="HC51">
        <v>4</v>
      </c>
      <c r="HF51">
        <v>206</v>
      </c>
      <c r="HG51">
        <v>323</v>
      </c>
      <c r="HH51">
        <v>105</v>
      </c>
      <c r="HI51">
        <v>179</v>
      </c>
      <c r="HJ51">
        <v>13</v>
      </c>
      <c r="HK51">
        <v>24</v>
      </c>
      <c r="HL51">
        <v>10</v>
      </c>
      <c r="HM51">
        <v>16</v>
      </c>
      <c r="HN51">
        <v>2</v>
      </c>
      <c r="HO51">
        <v>12</v>
      </c>
      <c r="HP51" s="3">
        <f t="shared" si="75"/>
        <v>340</v>
      </c>
      <c r="HQ51" s="3">
        <f t="shared" si="76"/>
        <v>558</v>
      </c>
      <c r="HV51">
        <v>39</v>
      </c>
      <c r="HW51">
        <v>163</v>
      </c>
      <c r="HX51">
        <v>31</v>
      </c>
      <c r="HY51">
        <v>81</v>
      </c>
      <c r="HZ51">
        <v>2</v>
      </c>
      <c r="IA51">
        <v>6</v>
      </c>
      <c r="ID51" s="3">
        <f t="shared" si="77"/>
        <v>72</v>
      </c>
      <c r="IE51" s="3">
        <f t="shared" si="78"/>
        <v>250</v>
      </c>
      <c r="IF51" s="3"/>
      <c r="II51">
        <v>3</v>
      </c>
      <c r="IJ51">
        <v>24</v>
      </c>
      <c r="IK51" s="3">
        <f t="shared" si="79"/>
        <v>3</v>
      </c>
      <c r="IL51" s="3">
        <f t="shared" si="80"/>
        <v>24</v>
      </c>
      <c r="IR51">
        <v>1</v>
      </c>
      <c r="IS51">
        <v>1</v>
      </c>
      <c r="IV51">
        <v>66</v>
      </c>
      <c r="IW51">
        <v>172</v>
      </c>
      <c r="IX51">
        <v>28</v>
      </c>
      <c r="IY51">
        <v>67</v>
      </c>
      <c r="IZ51">
        <v>9</v>
      </c>
      <c r="JA51">
        <v>19</v>
      </c>
      <c r="JB51">
        <v>7</v>
      </c>
      <c r="JC51">
        <v>14</v>
      </c>
      <c r="JF51" s="3">
        <f t="shared" si="81"/>
        <v>111</v>
      </c>
      <c r="JG51" s="3">
        <f t="shared" si="82"/>
        <v>273</v>
      </c>
      <c r="JI51" s="5">
        <f t="shared" si="83"/>
        <v>526</v>
      </c>
      <c r="JJ51" s="5">
        <f t="shared" si="84"/>
        <v>1105</v>
      </c>
      <c r="JK51" s="10">
        <f t="shared" si="85"/>
        <v>2.1007604562737643</v>
      </c>
      <c r="JR51">
        <v>2</v>
      </c>
      <c r="JS51">
        <v>26</v>
      </c>
      <c r="JT51">
        <v>14</v>
      </c>
      <c r="JU51">
        <v>49</v>
      </c>
      <c r="JV51">
        <v>9</v>
      </c>
      <c r="JW51">
        <v>27</v>
      </c>
      <c r="KF51" s="3">
        <f t="shared" si="86"/>
        <v>25</v>
      </c>
      <c r="KG51" s="3">
        <f t="shared" si="87"/>
        <v>102</v>
      </c>
      <c r="KJ51">
        <v>1</v>
      </c>
      <c r="KK51">
        <v>1</v>
      </c>
      <c r="KL51">
        <v>1</v>
      </c>
      <c r="KM51">
        <v>7</v>
      </c>
      <c r="KN51">
        <v>1</v>
      </c>
      <c r="KO51">
        <v>5</v>
      </c>
      <c r="KP51" s="3">
        <f t="shared" si="88"/>
        <v>3</v>
      </c>
      <c r="KQ51" s="3">
        <f t="shared" si="89"/>
        <v>13</v>
      </c>
      <c r="KS51" s="5">
        <f t="shared" si="90"/>
        <v>28</v>
      </c>
      <c r="KT51" s="5">
        <f t="shared" si="91"/>
        <v>115</v>
      </c>
      <c r="KU51" s="10">
        <f t="shared" si="92"/>
        <v>4.1071428571428568</v>
      </c>
      <c r="KW51" s="5">
        <f t="shared" si="93"/>
        <v>1237</v>
      </c>
      <c r="KX51" s="5">
        <f t="shared" si="94"/>
        <v>3714</v>
      </c>
      <c r="KY51" s="10">
        <f t="shared" si="95"/>
        <v>3.0024252223120453</v>
      </c>
      <c r="LA51" s="15" t="s">
        <v>343</v>
      </c>
      <c r="LB51">
        <v>258008</v>
      </c>
      <c r="LD51" s="11">
        <f t="shared" si="96"/>
        <v>4.7944249790704161</v>
      </c>
      <c r="LE51" s="11">
        <f t="shared" si="97"/>
        <v>14.394902483643918</v>
      </c>
    </row>
    <row r="52" spans="1:319" ht="15.75" x14ac:dyDescent="0.25">
      <c r="A52" s="22" t="s">
        <v>411</v>
      </c>
      <c r="B52" s="24" t="s">
        <v>344</v>
      </c>
      <c r="C52" s="1"/>
      <c r="D52" s="1"/>
      <c r="G52">
        <v>2</v>
      </c>
      <c r="H52">
        <v>16</v>
      </c>
      <c r="J52">
        <f>4+3</f>
        <v>7</v>
      </c>
      <c r="K52">
        <f>68+53</f>
        <v>121</v>
      </c>
      <c r="L52">
        <v>8</v>
      </c>
      <c r="M52">
        <v>22</v>
      </c>
      <c r="N52" s="3">
        <f t="shared" si="29"/>
        <v>15</v>
      </c>
      <c r="O52" s="3">
        <f t="shared" si="30"/>
        <v>143</v>
      </c>
      <c r="P52" s="5">
        <f t="shared" si="31"/>
        <v>17</v>
      </c>
      <c r="Q52" s="5">
        <f t="shared" si="32"/>
        <v>159</v>
      </c>
      <c r="R52" s="10">
        <f t="shared" si="33"/>
        <v>9.3529411764705888</v>
      </c>
      <c r="W52">
        <f>43+3</f>
        <v>46</v>
      </c>
      <c r="X52">
        <f>110+40</f>
        <v>150</v>
      </c>
      <c r="Y52">
        <v>14</v>
      </c>
      <c r="Z52">
        <v>113</v>
      </c>
      <c r="AA52" s="3">
        <f t="shared" si="34"/>
        <v>60</v>
      </c>
      <c r="AB52" s="3">
        <f t="shared" si="35"/>
        <v>263</v>
      </c>
      <c r="AD52">
        <v>3</v>
      </c>
      <c r="AE52">
        <v>16</v>
      </c>
      <c r="AF52">
        <v>7</v>
      </c>
      <c r="AG52">
        <v>98</v>
      </c>
      <c r="AI52">
        <v>1</v>
      </c>
      <c r="AJ52">
        <v>14</v>
      </c>
      <c r="AK52">
        <v>11</v>
      </c>
      <c r="AL52">
        <v>41</v>
      </c>
      <c r="AM52" s="3">
        <f t="shared" si="36"/>
        <v>12</v>
      </c>
      <c r="AN52" s="3">
        <f t="shared" si="37"/>
        <v>55</v>
      </c>
      <c r="AP52" s="5">
        <f t="shared" si="38"/>
        <v>82</v>
      </c>
      <c r="AQ52" s="5">
        <f t="shared" si="39"/>
        <v>432</v>
      </c>
      <c r="AR52" s="10">
        <f t="shared" si="40"/>
        <v>5.2682926829268295</v>
      </c>
      <c r="AU52">
        <v>1</v>
      </c>
      <c r="AV52">
        <v>19</v>
      </c>
      <c r="AY52" s="3">
        <f t="shared" si="41"/>
        <v>1</v>
      </c>
      <c r="AZ52" s="3">
        <f t="shared" si="42"/>
        <v>19</v>
      </c>
      <c r="BD52">
        <f>4+1</f>
        <v>5</v>
      </c>
      <c r="BE52">
        <f>22+4</f>
        <v>26</v>
      </c>
      <c r="BF52" s="13">
        <f t="shared" si="43"/>
        <v>6</v>
      </c>
      <c r="BG52" s="13">
        <f t="shared" si="44"/>
        <v>45</v>
      </c>
      <c r="BH52" s="10">
        <f t="shared" si="45"/>
        <v>7.5</v>
      </c>
      <c r="BI52" s="10"/>
      <c r="BK52">
        <v>1</v>
      </c>
      <c r="BL52">
        <v>70</v>
      </c>
      <c r="BM52">
        <v>5</v>
      </c>
      <c r="BN52">
        <v>465</v>
      </c>
      <c r="BO52" s="14">
        <f t="shared" si="46"/>
        <v>6</v>
      </c>
      <c r="BP52" s="14">
        <f t="shared" si="47"/>
        <v>535</v>
      </c>
      <c r="BT52">
        <v>3</v>
      </c>
      <c r="BU52">
        <v>22</v>
      </c>
      <c r="BV52">
        <v>1</v>
      </c>
      <c r="BW52">
        <v>113</v>
      </c>
      <c r="BX52" s="14">
        <f t="shared" si="48"/>
        <v>4</v>
      </c>
      <c r="BY52" s="14">
        <f t="shared" si="49"/>
        <v>135</v>
      </c>
      <c r="CE52" s="13">
        <f t="shared" si="50"/>
        <v>10</v>
      </c>
      <c r="CF52" s="13">
        <f t="shared" si="51"/>
        <v>670</v>
      </c>
      <c r="CG52" s="10">
        <f t="shared" si="52"/>
        <v>67</v>
      </c>
      <c r="CH52" s="10"/>
      <c r="CL52">
        <v>22</v>
      </c>
      <c r="CM52">
        <v>253</v>
      </c>
      <c r="CN52" s="14">
        <f t="shared" si="53"/>
        <v>22</v>
      </c>
      <c r="CO52" s="14">
        <f t="shared" si="54"/>
        <v>253</v>
      </c>
      <c r="CP52" s="12"/>
      <c r="CT52">
        <v>36</v>
      </c>
      <c r="CU52">
        <v>1841</v>
      </c>
      <c r="CX52">
        <v>30</v>
      </c>
      <c r="CY52">
        <v>178</v>
      </c>
      <c r="DJ52">
        <v>2</v>
      </c>
      <c r="DK52">
        <v>55</v>
      </c>
      <c r="DV52" s="3">
        <f t="shared" si="55"/>
        <v>68</v>
      </c>
      <c r="DW52" s="3">
        <f t="shared" si="56"/>
        <v>2074</v>
      </c>
      <c r="DY52">
        <v>3</v>
      </c>
      <c r="DZ52">
        <v>215</v>
      </c>
      <c r="EI52">
        <v>1</v>
      </c>
      <c r="EJ52">
        <v>22</v>
      </c>
      <c r="EK52" s="3">
        <f t="shared" si="57"/>
        <v>4</v>
      </c>
      <c r="EL52" s="3">
        <f t="shared" si="58"/>
        <v>237</v>
      </c>
      <c r="EM52" s="5">
        <f t="shared" si="59"/>
        <v>94</v>
      </c>
      <c r="EN52" s="5">
        <f t="shared" si="60"/>
        <v>2564</v>
      </c>
      <c r="EO52" s="10">
        <f t="shared" si="61"/>
        <v>27.276595744680851</v>
      </c>
      <c r="EY52" s="3">
        <f t="shared" si="62"/>
        <v>0</v>
      </c>
      <c r="EZ52" s="3">
        <f t="shared" si="63"/>
        <v>0</v>
      </c>
      <c r="FB52">
        <f>5+5</f>
        <v>10</v>
      </c>
      <c r="FC52">
        <f>46+54</f>
        <v>100</v>
      </c>
      <c r="FD52">
        <v>1</v>
      </c>
      <c r="FE52">
        <v>23</v>
      </c>
      <c r="FF52">
        <v>12</v>
      </c>
      <c r="FG52">
        <v>22</v>
      </c>
      <c r="FH52" s="3">
        <f t="shared" si="64"/>
        <v>23</v>
      </c>
      <c r="FI52" s="3">
        <f t="shared" si="65"/>
        <v>145</v>
      </c>
      <c r="FO52">
        <v>4</v>
      </c>
      <c r="FP52">
        <v>56</v>
      </c>
      <c r="FQ52" s="3">
        <f t="shared" si="66"/>
        <v>4</v>
      </c>
      <c r="FR52" s="3">
        <f t="shared" si="67"/>
        <v>56</v>
      </c>
      <c r="FT52">
        <v>2</v>
      </c>
      <c r="FU52">
        <v>7</v>
      </c>
      <c r="FZ52">
        <v>3</v>
      </c>
      <c r="GA52">
        <v>38</v>
      </c>
      <c r="GB52" s="3">
        <f t="shared" si="68"/>
        <v>5</v>
      </c>
      <c r="GC52" s="3">
        <f t="shared" si="69"/>
        <v>45</v>
      </c>
      <c r="GK52">
        <v>43</v>
      </c>
      <c r="GL52">
        <v>236</v>
      </c>
      <c r="GS52" s="3">
        <f t="shared" si="70"/>
        <v>43</v>
      </c>
      <c r="GT52" s="3">
        <f t="shared" si="71"/>
        <v>236</v>
      </c>
      <c r="GU52" s="5">
        <f t="shared" si="72"/>
        <v>75</v>
      </c>
      <c r="GV52" s="5">
        <f t="shared" si="73"/>
        <v>482</v>
      </c>
      <c r="GW52" s="10">
        <f t="shared" si="74"/>
        <v>6.4266666666666667</v>
      </c>
      <c r="HF52">
        <v>84</v>
      </c>
      <c r="HG52">
        <v>398</v>
      </c>
      <c r="HJ52">
        <v>1</v>
      </c>
      <c r="HK52">
        <v>15</v>
      </c>
      <c r="HL52">
        <v>3</v>
      </c>
      <c r="HM52">
        <v>11</v>
      </c>
      <c r="HP52" s="3">
        <f t="shared" si="75"/>
        <v>88</v>
      </c>
      <c r="HQ52" s="3">
        <f t="shared" si="76"/>
        <v>424</v>
      </c>
      <c r="HV52">
        <v>2</v>
      </c>
      <c r="HW52">
        <v>4</v>
      </c>
      <c r="HX52">
        <v>4</v>
      </c>
      <c r="HY52">
        <v>105</v>
      </c>
      <c r="ID52" s="3">
        <f t="shared" si="77"/>
        <v>6</v>
      </c>
      <c r="IE52" s="3">
        <f t="shared" si="78"/>
        <v>109</v>
      </c>
      <c r="IF52" s="3"/>
      <c r="II52">
        <v>1</v>
      </c>
      <c r="IJ52">
        <v>17</v>
      </c>
      <c r="IK52" s="3">
        <f t="shared" si="79"/>
        <v>1</v>
      </c>
      <c r="IL52" s="3">
        <f t="shared" si="80"/>
        <v>17</v>
      </c>
      <c r="IR52">
        <f>6+3</f>
        <v>9</v>
      </c>
      <c r="IS52">
        <f>56+9</f>
        <v>65</v>
      </c>
      <c r="IT52">
        <v>41</v>
      </c>
      <c r="IU52">
        <v>899</v>
      </c>
      <c r="IV52">
        <v>44</v>
      </c>
      <c r="IW52">
        <v>194</v>
      </c>
      <c r="IX52">
        <v>11</v>
      </c>
      <c r="IY52">
        <v>82</v>
      </c>
      <c r="IZ52">
        <v>1</v>
      </c>
      <c r="JA52">
        <v>18</v>
      </c>
      <c r="JB52">
        <v>3</v>
      </c>
      <c r="JC52">
        <v>42</v>
      </c>
      <c r="JF52" s="3">
        <f t="shared" si="81"/>
        <v>109</v>
      </c>
      <c r="JG52" s="3">
        <f t="shared" si="82"/>
        <v>1300</v>
      </c>
      <c r="JI52" s="5">
        <f t="shared" si="83"/>
        <v>204</v>
      </c>
      <c r="JJ52" s="5">
        <f t="shared" si="84"/>
        <v>1850</v>
      </c>
      <c r="JK52" s="10">
        <f t="shared" si="85"/>
        <v>9.0686274509803919</v>
      </c>
      <c r="JR52">
        <v>4</v>
      </c>
      <c r="JS52">
        <v>130</v>
      </c>
      <c r="JT52">
        <v>19</v>
      </c>
      <c r="JU52">
        <v>156</v>
      </c>
      <c r="KB52">
        <v>10</v>
      </c>
      <c r="KC52">
        <v>17</v>
      </c>
      <c r="KF52" s="3">
        <f t="shared" si="86"/>
        <v>33</v>
      </c>
      <c r="KG52" s="3">
        <f t="shared" si="87"/>
        <v>303</v>
      </c>
      <c r="KL52">
        <v>2</v>
      </c>
      <c r="KM52">
        <v>117</v>
      </c>
      <c r="KP52" s="3">
        <f t="shared" si="88"/>
        <v>2</v>
      </c>
      <c r="KQ52" s="3">
        <f t="shared" si="89"/>
        <v>117</v>
      </c>
      <c r="KS52" s="5">
        <f t="shared" si="90"/>
        <v>35</v>
      </c>
      <c r="KT52" s="5">
        <f t="shared" si="91"/>
        <v>420</v>
      </c>
      <c r="KU52" s="10">
        <f t="shared" si="92"/>
        <v>12</v>
      </c>
      <c r="KW52" s="5">
        <f t="shared" si="93"/>
        <v>523</v>
      </c>
      <c r="KX52" s="5">
        <f t="shared" si="94"/>
        <v>6622</v>
      </c>
      <c r="KY52" s="10">
        <f t="shared" si="95"/>
        <v>12.661567877629063</v>
      </c>
      <c r="LA52" s="15" t="s">
        <v>344</v>
      </c>
      <c r="LB52">
        <v>87992</v>
      </c>
      <c r="LD52" s="11">
        <f t="shared" si="96"/>
        <v>5.9437221565596872</v>
      </c>
      <c r="LE52" s="11">
        <f t="shared" si="97"/>
        <v>75.256841531048281</v>
      </c>
    </row>
    <row r="53" spans="1:319" ht="15.75" x14ac:dyDescent="0.25">
      <c r="A53" s="22" t="s">
        <v>406</v>
      </c>
      <c r="B53" s="24" t="s">
        <v>345</v>
      </c>
      <c r="C53" s="1"/>
      <c r="D53" s="1"/>
      <c r="E53">
        <f>5+1+8</f>
        <v>14</v>
      </c>
      <c r="F53">
        <f>45+6+11</f>
        <v>62</v>
      </c>
      <c r="G53">
        <f>13+1</f>
        <v>14</v>
      </c>
      <c r="H53">
        <f>65+4</f>
        <v>69</v>
      </c>
      <c r="L53">
        <v>266</v>
      </c>
      <c r="M53">
        <v>699</v>
      </c>
      <c r="N53" s="3">
        <f t="shared" si="29"/>
        <v>266</v>
      </c>
      <c r="O53" s="3">
        <f t="shared" si="30"/>
        <v>699</v>
      </c>
      <c r="P53" s="5">
        <f t="shared" si="31"/>
        <v>294</v>
      </c>
      <c r="Q53" s="5">
        <f t="shared" si="32"/>
        <v>830</v>
      </c>
      <c r="R53" s="10">
        <f t="shared" si="33"/>
        <v>2.8231292517006801</v>
      </c>
      <c r="U53">
        <f>6+2+13+1+8+1</f>
        <v>31</v>
      </c>
      <c r="V53">
        <f>18+56+39+6+60+13</f>
        <v>192</v>
      </c>
      <c r="W53">
        <f>518+2+3</f>
        <v>523</v>
      </c>
      <c r="X53">
        <f>1451+5+30</f>
        <v>1486</v>
      </c>
      <c r="Y53">
        <v>75</v>
      </c>
      <c r="Z53">
        <v>349</v>
      </c>
      <c r="AA53" s="3">
        <f t="shared" si="34"/>
        <v>629</v>
      </c>
      <c r="AB53" s="3">
        <f t="shared" si="35"/>
        <v>2027</v>
      </c>
      <c r="AD53">
        <v>21</v>
      </c>
      <c r="AE53">
        <v>162</v>
      </c>
      <c r="AF53">
        <v>9</v>
      </c>
      <c r="AG53">
        <v>49</v>
      </c>
      <c r="AI53">
        <f>3+3</f>
        <v>6</v>
      </c>
      <c r="AJ53">
        <f>18+4</f>
        <v>22</v>
      </c>
      <c r="AK53">
        <v>15</v>
      </c>
      <c r="AL53">
        <v>99</v>
      </c>
      <c r="AM53" s="3">
        <f t="shared" si="36"/>
        <v>21</v>
      </c>
      <c r="AN53" s="3">
        <f t="shared" si="37"/>
        <v>121</v>
      </c>
      <c r="AP53" s="5">
        <f t="shared" si="38"/>
        <v>680</v>
      </c>
      <c r="AQ53" s="5">
        <f t="shared" si="39"/>
        <v>2359</v>
      </c>
      <c r="AR53" s="10">
        <f t="shared" si="40"/>
        <v>3.4691176470588236</v>
      </c>
      <c r="AU53">
        <f>2+1</f>
        <v>3</v>
      </c>
      <c r="AV53">
        <f>29+21</f>
        <v>50</v>
      </c>
      <c r="AW53">
        <v>194</v>
      </c>
      <c r="AX53">
        <v>549</v>
      </c>
      <c r="AY53" s="3">
        <f t="shared" si="41"/>
        <v>197</v>
      </c>
      <c r="AZ53" s="3">
        <f t="shared" si="42"/>
        <v>599</v>
      </c>
      <c r="BB53">
        <f>3+30+15</f>
        <v>48</v>
      </c>
      <c r="BC53">
        <f>254+41+22</f>
        <v>317</v>
      </c>
      <c r="BD53">
        <f>1+4</f>
        <v>5</v>
      </c>
      <c r="BE53">
        <f>6+34</f>
        <v>40</v>
      </c>
      <c r="BF53" s="13">
        <f t="shared" si="43"/>
        <v>250</v>
      </c>
      <c r="BG53" s="13">
        <f t="shared" si="44"/>
        <v>956</v>
      </c>
      <c r="BH53" s="10">
        <f t="shared" si="45"/>
        <v>3.8239999999999998</v>
      </c>
      <c r="BI53" s="10"/>
      <c r="BK53">
        <v>4</v>
      </c>
      <c r="BL53">
        <v>4</v>
      </c>
      <c r="BM53">
        <v>14</v>
      </c>
      <c r="BN53">
        <v>484</v>
      </c>
      <c r="BO53" s="14">
        <f t="shared" si="46"/>
        <v>18</v>
      </c>
      <c r="BP53" s="14">
        <f t="shared" si="47"/>
        <v>488</v>
      </c>
      <c r="BR53">
        <f>3+1</f>
        <v>4</v>
      </c>
      <c r="BS53">
        <f>74+56</f>
        <v>130</v>
      </c>
      <c r="BT53">
        <v>35</v>
      </c>
      <c r="BU53">
        <v>342</v>
      </c>
      <c r="BX53" s="14">
        <f t="shared" si="48"/>
        <v>39</v>
      </c>
      <c r="BY53" s="14">
        <f t="shared" si="49"/>
        <v>472</v>
      </c>
      <c r="CE53" s="13">
        <f t="shared" si="50"/>
        <v>57</v>
      </c>
      <c r="CF53" s="13">
        <f t="shared" si="51"/>
        <v>960</v>
      </c>
      <c r="CG53" s="10">
        <f t="shared" si="52"/>
        <v>16.842105263157894</v>
      </c>
      <c r="CH53" s="10"/>
      <c r="CJ53">
        <v>6</v>
      </c>
      <c r="CK53">
        <v>17</v>
      </c>
      <c r="CN53" s="14">
        <f t="shared" si="53"/>
        <v>6</v>
      </c>
      <c r="CO53" s="14">
        <f t="shared" si="54"/>
        <v>17</v>
      </c>
      <c r="CP53" s="12"/>
      <c r="CT53">
        <v>514</v>
      </c>
      <c r="CU53">
        <v>5373</v>
      </c>
      <c r="CX53">
        <v>71</v>
      </c>
      <c r="CY53">
        <v>625</v>
      </c>
      <c r="DJ53">
        <v>4</v>
      </c>
      <c r="DK53">
        <v>54</v>
      </c>
      <c r="DT53">
        <v>36</v>
      </c>
      <c r="DU53">
        <v>253</v>
      </c>
      <c r="DV53" s="3">
        <f t="shared" si="55"/>
        <v>625</v>
      </c>
      <c r="DW53" s="3">
        <f t="shared" si="56"/>
        <v>6305</v>
      </c>
      <c r="DY53">
        <v>12</v>
      </c>
      <c r="DZ53">
        <v>469</v>
      </c>
      <c r="EI53">
        <v>1</v>
      </c>
      <c r="EJ53">
        <v>12</v>
      </c>
      <c r="EK53" s="3">
        <f t="shared" si="57"/>
        <v>13</v>
      </c>
      <c r="EL53" s="3">
        <f t="shared" si="58"/>
        <v>481</v>
      </c>
      <c r="EM53" s="5">
        <f t="shared" si="59"/>
        <v>644</v>
      </c>
      <c r="EN53" s="5">
        <f t="shared" si="60"/>
        <v>6803</v>
      </c>
      <c r="EO53" s="10">
        <f t="shared" si="61"/>
        <v>10.563664596273291</v>
      </c>
      <c r="ER53">
        <v>1</v>
      </c>
      <c r="ES53">
        <v>59</v>
      </c>
      <c r="EU53">
        <f>43+3</f>
        <v>46</v>
      </c>
      <c r="EV53">
        <f>113+16</f>
        <v>129</v>
      </c>
      <c r="EY53" s="3">
        <f t="shared" si="62"/>
        <v>46</v>
      </c>
      <c r="EZ53" s="3">
        <f t="shared" si="63"/>
        <v>129</v>
      </c>
      <c r="FD53">
        <v>75</v>
      </c>
      <c r="FE53">
        <v>203</v>
      </c>
      <c r="FF53">
        <v>95</v>
      </c>
      <c r="FG53">
        <v>255</v>
      </c>
      <c r="FH53" s="3">
        <f t="shared" si="64"/>
        <v>170</v>
      </c>
      <c r="FI53" s="3">
        <f t="shared" si="65"/>
        <v>458</v>
      </c>
      <c r="FO53">
        <v>9</v>
      </c>
      <c r="FP53">
        <v>56</v>
      </c>
      <c r="FQ53" s="3">
        <f t="shared" si="66"/>
        <v>9</v>
      </c>
      <c r="FR53" s="3">
        <f t="shared" si="67"/>
        <v>56</v>
      </c>
      <c r="FX53">
        <v>10</v>
      </c>
      <c r="FY53">
        <v>37</v>
      </c>
      <c r="FZ53">
        <v>1</v>
      </c>
      <c r="GA53">
        <v>21</v>
      </c>
      <c r="GB53" s="3">
        <f t="shared" si="68"/>
        <v>11</v>
      </c>
      <c r="GC53" s="3">
        <f t="shared" si="69"/>
        <v>58</v>
      </c>
      <c r="GE53">
        <v>15</v>
      </c>
      <c r="GF53">
        <v>183</v>
      </c>
      <c r="GG53">
        <v>2</v>
      </c>
      <c r="GH53">
        <v>3</v>
      </c>
      <c r="GI53">
        <v>39</v>
      </c>
      <c r="GJ53">
        <v>28</v>
      </c>
      <c r="GK53">
        <v>435</v>
      </c>
      <c r="GL53">
        <v>1687</v>
      </c>
      <c r="GO53">
        <v>15</v>
      </c>
      <c r="GP53">
        <v>100</v>
      </c>
      <c r="GS53" s="3">
        <f t="shared" si="70"/>
        <v>506</v>
      </c>
      <c r="GT53" s="3">
        <f t="shared" si="71"/>
        <v>2001</v>
      </c>
      <c r="GU53" s="5">
        <f t="shared" si="72"/>
        <v>743</v>
      </c>
      <c r="GV53" s="5">
        <f t="shared" si="73"/>
        <v>2761</v>
      </c>
      <c r="GW53" s="10">
        <f t="shared" si="74"/>
        <v>3.7160161507402423</v>
      </c>
      <c r="GZ53">
        <f>312+9</f>
        <v>321</v>
      </c>
      <c r="HA53">
        <f>982+13</f>
        <v>995</v>
      </c>
      <c r="HB53">
        <v>20</v>
      </c>
      <c r="HC53">
        <v>285</v>
      </c>
      <c r="HD53">
        <v>1</v>
      </c>
      <c r="HE53">
        <v>15</v>
      </c>
      <c r="HF53">
        <v>345</v>
      </c>
      <c r="HG53">
        <v>1145</v>
      </c>
      <c r="HH53">
        <v>244</v>
      </c>
      <c r="HI53">
        <v>764</v>
      </c>
      <c r="HJ53">
        <v>71</v>
      </c>
      <c r="HK53">
        <v>260</v>
      </c>
      <c r="HL53">
        <v>25</v>
      </c>
      <c r="HM53">
        <v>102</v>
      </c>
      <c r="HN53">
        <v>3</v>
      </c>
      <c r="HO53">
        <v>29</v>
      </c>
      <c r="HP53" s="3">
        <f t="shared" si="75"/>
        <v>1030</v>
      </c>
      <c r="HQ53" s="3">
        <f t="shared" si="76"/>
        <v>3595</v>
      </c>
      <c r="HV53">
        <v>325</v>
      </c>
      <c r="HW53">
        <v>990</v>
      </c>
      <c r="HX53">
        <v>78</v>
      </c>
      <c r="HY53">
        <v>310</v>
      </c>
      <c r="HZ53">
        <v>2</v>
      </c>
      <c r="IA53">
        <v>15</v>
      </c>
      <c r="ID53" s="3">
        <f t="shared" si="77"/>
        <v>405</v>
      </c>
      <c r="IE53" s="3">
        <f t="shared" si="78"/>
        <v>1315</v>
      </c>
      <c r="IF53" s="3"/>
      <c r="IG53">
        <v>1</v>
      </c>
      <c r="IH53">
        <v>2419</v>
      </c>
      <c r="II53">
        <v>7</v>
      </c>
      <c r="IJ53">
        <v>35</v>
      </c>
      <c r="IK53" s="3">
        <f t="shared" si="79"/>
        <v>8</v>
      </c>
      <c r="IL53" s="3">
        <f t="shared" si="80"/>
        <v>2454</v>
      </c>
      <c r="IR53">
        <f>1+1</f>
        <v>2</v>
      </c>
      <c r="IS53">
        <f>2+3</f>
        <v>5</v>
      </c>
      <c r="IT53">
        <v>3</v>
      </c>
      <c r="IU53">
        <v>4</v>
      </c>
      <c r="IV53">
        <v>234</v>
      </c>
      <c r="IW53">
        <v>783</v>
      </c>
      <c r="IX53">
        <v>229</v>
      </c>
      <c r="IY53">
        <v>824</v>
      </c>
      <c r="IZ53">
        <v>19</v>
      </c>
      <c r="JA53">
        <v>74</v>
      </c>
      <c r="JB53">
        <v>18</v>
      </c>
      <c r="JC53">
        <v>49</v>
      </c>
      <c r="JD53">
        <v>1</v>
      </c>
      <c r="JE53">
        <v>1</v>
      </c>
      <c r="JF53" s="3">
        <f t="shared" si="81"/>
        <v>506</v>
      </c>
      <c r="JG53" s="3">
        <f t="shared" si="82"/>
        <v>1740</v>
      </c>
      <c r="JI53" s="5">
        <f t="shared" si="83"/>
        <v>1949</v>
      </c>
      <c r="JJ53" s="5">
        <f t="shared" si="84"/>
        <v>9104</v>
      </c>
      <c r="JK53" s="10">
        <f t="shared" si="85"/>
        <v>4.6711133914828116</v>
      </c>
      <c r="JR53">
        <v>14</v>
      </c>
      <c r="JS53">
        <v>185</v>
      </c>
      <c r="JT53">
        <v>278</v>
      </c>
      <c r="JU53">
        <v>656</v>
      </c>
      <c r="JV53">
        <v>168</v>
      </c>
      <c r="JW53">
        <v>441</v>
      </c>
      <c r="JX53">
        <v>13</v>
      </c>
      <c r="JY53">
        <v>31</v>
      </c>
      <c r="KB53">
        <v>5</v>
      </c>
      <c r="KC53">
        <v>14</v>
      </c>
      <c r="KD53">
        <v>3</v>
      </c>
      <c r="KE53">
        <v>26</v>
      </c>
      <c r="KF53" s="3">
        <f t="shared" si="86"/>
        <v>481</v>
      </c>
      <c r="KG53" s="3">
        <f t="shared" si="87"/>
        <v>1353</v>
      </c>
      <c r="KL53">
        <v>1</v>
      </c>
      <c r="KM53">
        <v>37</v>
      </c>
      <c r="KP53" s="3">
        <f t="shared" si="88"/>
        <v>1</v>
      </c>
      <c r="KQ53" s="3">
        <f t="shared" si="89"/>
        <v>37</v>
      </c>
      <c r="KS53" s="5">
        <f t="shared" si="90"/>
        <v>482</v>
      </c>
      <c r="KT53" s="5">
        <f t="shared" si="91"/>
        <v>1390</v>
      </c>
      <c r="KU53" s="10">
        <f t="shared" si="92"/>
        <v>2.8838174273858921</v>
      </c>
      <c r="KW53" s="5">
        <f t="shared" si="93"/>
        <v>5099</v>
      </c>
      <c r="KX53" s="5">
        <f t="shared" si="94"/>
        <v>25163</v>
      </c>
      <c r="KY53" s="10">
        <f t="shared" si="95"/>
        <v>4.9348891939595996</v>
      </c>
      <c r="LA53" s="15" t="s">
        <v>345</v>
      </c>
      <c r="LB53">
        <v>256415</v>
      </c>
      <c r="LD53" s="11">
        <f t="shared" si="96"/>
        <v>19.885732113955893</v>
      </c>
      <c r="LE53" s="11">
        <f t="shared" si="97"/>
        <v>98.133884523136317</v>
      </c>
      <c r="LG53" s="10"/>
    </row>
    <row r="54" spans="1:319" ht="15.75" x14ac:dyDescent="0.25">
      <c r="A54" s="22" t="s">
        <v>400</v>
      </c>
      <c r="B54" s="24" t="s">
        <v>346</v>
      </c>
      <c r="C54" s="1"/>
      <c r="D54" s="1"/>
      <c r="G54">
        <v>17</v>
      </c>
      <c r="H54">
        <v>116</v>
      </c>
      <c r="L54">
        <v>48</v>
      </c>
      <c r="M54">
        <v>393</v>
      </c>
      <c r="N54" s="3">
        <f t="shared" si="29"/>
        <v>48</v>
      </c>
      <c r="O54" s="3">
        <f t="shared" si="30"/>
        <v>393</v>
      </c>
      <c r="P54" s="5">
        <f t="shared" si="31"/>
        <v>65</v>
      </c>
      <c r="Q54" s="5">
        <f t="shared" si="32"/>
        <v>509</v>
      </c>
      <c r="R54" s="10">
        <f t="shared" si="33"/>
        <v>7.8307692307692305</v>
      </c>
      <c r="U54">
        <f>10+11+1</f>
        <v>22</v>
      </c>
      <c r="V54">
        <f>70+92+13</f>
        <v>175</v>
      </c>
      <c r="W54">
        <f>92+4</f>
        <v>96</v>
      </c>
      <c r="X54">
        <f>524+40</f>
        <v>564</v>
      </c>
      <c r="Y54">
        <v>38</v>
      </c>
      <c r="Z54">
        <v>385</v>
      </c>
      <c r="AA54" s="3">
        <f t="shared" si="34"/>
        <v>156</v>
      </c>
      <c r="AB54" s="3">
        <f t="shared" si="35"/>
        <v>1124</v>
      </c>
      <c r="AD54">
        <f>1+12+5</f>
        <v>18</v>
      </c>
      <c r="AE54">
        <f>15+138+49</f>
        <v>202</v>
      </c>
      <c r="AF54">
        <v>9</v>
      </c>
      <c r="AG54">
        <v>124</v>
      </c>
      <c r="AI54">
        <f>1+2+5</f>
        <v>8</v>
      </c>
      <c r="AJ54">
        <f>13+24+39</f>
        <v>76</v>
      </c>
      <c r="AK54">
        <v>16</v>
      </c>
      <c r="AL54">
        <v>130</v>
      </c>
      <c r="AM54" s="3">
        <f t="shared" si="36"/>
        <v>24</v>
      </c>
      <c r="AN54" s="3">
        <f t="shared" si="37"/>
        <v>206</v>
      </c>
      <c r="AP54" s="5">
        <f t="shared" si="38"/>
        <v>207</v>
      </c>
      <c r="AQ54" s="5">
        <f t="shared" si="39"/>
        <v>1656</v>
      </c>
      <c r="AR54" s="10">
        <f t="shared" si="40"/>
        <v>8</v>
      </c>
      <c r="AU54">
        <v>16</v>
      </c>
      <c r="AV54">
        <v>132</v>
      </c>
      <c r="AY54" s="3">
        <f t="shared" si="41"/>
        <v>16</v>
      </c>
      <c r="AZ54" s="3">
        <f t="shared" si="42"/>
        <v>132</v>
      </c>
      <c r="BD54">
        <v>3</v>
      </c>
      <c r="BE54">
        <v>24</v>
      </c>
      <c r="BF54" s="13">
        <f t="shared" si="43"/>
        <v>19</v>
      </c>
      <c r="BG54" s="13">
        <f t="shared" si="44"/>
        <v>156</v>
      </c>
      <c r="BH54" s="10">
        <f t="shared" si="45"/>
        <v>8.2105263157894743</v>
      </c>
      <c r="BI54" s="10"/>
      <c r="BK54">
        <v>1</v>
      </c>
      <c r="BL54">
        <v>350</v>
      </c>
      <c r="BM54">
        <v>13</v>
      </c>
      <c r="BN54">
        <v>530</v>
      </c>
      <c r="BO54" s="14">
        <f t="shared" si="46"/>
        <v>14</v>
      </c>
      <c r="BP54" s="14">
        <f t="shared" si="47"/>
        <v>880</v>
      </c>
      <c r="BR54">
        <f>1+5</f>
        <v>6</v>
      </c>
      <c r="BS54">
        <f>802+44</f>
        <v>846</v>
      </c>
      <c r="BT54">
        <v>21</v>
      </c>
      <c r="BU54">
        <v>240</v>
      </c>
      <c r="BX54" s="14">
        <f t="shared" si="48"/>
        <v>27</v>
      </c>
      <c r="BY54" s="14">
        <f t="shared" si="49"/>
        <v>1086</v>
      </c>
      <c r="CC54">
        <v>6</v>
      </c>
      <c r="CD54">
        <v>57</v>
      </c>
      <c r="CE54" s="13">
        <f t="shared" si="50"/>
        <v>47</v>
      </c>
      <c r="CF54" s="13">
        <f t="shared" si="51"/>
        <v>2023</v>
      </c>
      <c r="CG54" s="10">
        <f t="shared" si="52"/>
        <v>43.042553191489361</v>
      </c>
      <c r="CH54" s="10"/>
      <c r="CJ54">
        <v>5</v>
      </c>
      <c r="CK54">
        <v>36</v>
      </c>
      <c r="CL54">
        <v>60</v>
      </c>
      <c r="CM54">
        <v>311</v>
      </c>
      <c r="CN54" s="14">
        <f t="shared" si="53"/>
        <v>65</v>
      </c>
      <c r="CO54" s="14">
        <f t="shared" si="54"/>
        <v>347</v>
      </c>
      <c r="CP54" s="12"/>
      <c r="CT54">
        <v>146</v>
      </c>
      <c r="CU54">
        <v>2258</v>
      </c>
      <c r="CX54">
        <v>64</v>
      </c>
      <c r="CY54">
        <v>764</v>
      </c>
      <c r="DJ54">
        <v>9</v>
      </c>
      <c r="DK54">
        <v>145</v>
      </c>
      <c r="DT54">
        <v>6</v>
      </c>
      <c r="DU54">
        <v>36</v>
      </c>
      <c r="DV54" s="3">
        <f t="shared" si="55"/>
        <v>225</v>
      </c>
      <c r="DW54" s="3">
        <f t="shared" si="56"/>
        <v>3203</v>
      </c>
      <c r="DY54">
        <v>6</v>
      </c>
      <c r="DZ54">
        <v>169</v>
      </c>
      <c r="EG54">
        <v>3</v>
      </c>
      <c r="EH54">
        <v>36</v>
      </c>
      <c r="EI54">
        <v>6</v>
      </c>
      <c r="EJ54">
        <v>50</v>
      </c>
      <c r="EK54" s="3">
        <f t="shared" si="57"/>
        <v>15</v>
      </c>
      <c r="EL54" s="3">
        <f t="shared" si="58"/>
        <v>255</v>
      </c>
      <c r="EM54" s="5">
        <f t="shared" si="59"/>
        <v>305</v>
      </c>
      <c r="EN54" s="5">
        <f t="shared" si="60"/>
        <v>3805</v>
      </c>
      <c r="EO54" s="10">
        <f t="shared" si="61"/>
        <v>12.475409836065573</v>
      </c>
      <c r="EU54">
        <f>1+6</f>
        <v>7</v>
      </c>
      <c r="EV54">
        <f>35+47</f>
        <v>82</v>
      </c>
      <c r="EW54">
        <v>43</v>
      </c>
      <c r="EX54">
        <v>492</v>
      </c>
      <c r="EY54" s="3">
        <f t="shared" si="62"/>
        <v>50</v>
      </c>
      <c r="EZ54" s="3">
        <f t="shared" si="63"/>
        <v>574</v>
      </c>
      <c r="FD54">
        <v>31</v>
      </c>
      <c r="FE54">
        <v>269</v>
      </c>
      <c r="FF54">
        <v>318</v>
      </c>
      <c r="FG54">
        <v>2651</v>
      </c>
      <c r="FH54" s="3">
        <f t="shared" si="64"/>
        <v>349</v>
      </c>
      <c r="FI54" s="3">
        <f t="shared" si="65"/>
        <v>2920</v>
      </c>
      <c r="FK54">
        <v>3</v>
      </c>
      <c r="FL54">
        <v>28</v>
      </c>
      <c r="FM54">
        <v>69</v>
      </c>
      <c r="FN54">
        <v>406</v>
      </c>
      <c r="FO54">
        <v>4</v>
      </c>
      <c r="FP54">
        <v>31</v>
      </c>
      <c r="FQ54" s="3">
        <f t="shared" si="66"/>
        <v>76</v>
      </c>
      <c r="FR54" s="3">
        <f t="shared" si="67"/>
        <v>465</v>
      </c>
      <c r="FZ54">
        <v>10</v>
      </c>
      <c r="GA54">
        <v>69</v>
      </c>
      <c r="GB54" s="3">
        <f t="shared" si="68"/>
        <v>10</v>
      </c>
      <c r="GC54" s="3">
        <f t="shared" si="69"/>
        <v>69</v>
      </c>
      <c r="GE54">
        <v>2</v>
      </c>
      <c r="GF54">
        <v>12</v>
      </c>
      <c r="GG54">
        <v>1</v>
      </c>
      <c r="GH54">
        <v>5</v>
      </c>
      <c r="GK54">
        <v>125</v>
      </c>
      <c r="GL54">
        <v>1044</v>
      </c>
      <c r="GO54">
        <v>4</v>
      </c>
      <c r="GP54">
        <v>20</v>
      </c>
      <c r="GQ54">
        <v>4</v>
      </c>
      <c r="GR54">
        <v>37</v>
      </c>
      <c r="GS54" s="3">
        <f t="shared" si="70"/>
        <v>136</v>
      </c>
      <c r="GT54" s="3">
        <f t="shared" si="71"/>
        <v>1118</v>
      </c>
      <c r="GU54" s="5">
        <f t="shared" si="72"/>
        <v>621</v>
      </c>
      <c r="GV54" s="5">
        <f t="shared" si="73"/>
        <v>5146</v>
      </c>
      <c r="GW54" s="10">
        <f t="shared" si="74"/>
        <v>8.2866344605475035</v>
      </c>
      <c r="HB54">
        <v>38</v>
      </c>
      <c r="HC54">
        <v>486</v>
      </c>
      <c r="HD54">
        <v>5</v>
      </c>
      <c r="HE54">
        <v>38</v>
      </c>
      <c r="HF54">
        <v>332</v>
      </c>
      <c r="HG54">
        <v>1684</v>
      </c>
      <c r="HJ54">
        <v>25</v>
      </c>
      <c r="HK54">
        <v>266</v>
      </c>
      <c r="HL54">
        <v>9</v>
      </c>
      <c r="HM54">
        <v>121</v>
      </c>
      <c r="HN54">
        <v>7</v>
      </c>
      <c r="HO54">
        <v>41</v>
      </c>
      <c r="HP54" s="3">
        <f t="shared" si="75"/>
        <v>416</v>
      </c>
      <c r="HQ54" s="3">
        <f t="shared" si="76"/>
        <v>2636</v>
      </c>
      <c r="HV54">
        <v>32</v>
      </c>
      <c r="HW54">
        <v>308</v>
      </c>
      <c r="HX54">
        <v>27</v>
      </c>
      <c r="HY54">
        <v>262</v>
      </c>
      <c r="HZ54">
        <v>12</v>
      </c>
      <c r="IA54">
        <v>93</v>
      </c>
      <c r="ID54" s="3">
        <f t="shared" si="77"/>
        <v>71</v>
      </c>
      <c r="IE54" s="3">
        <f t="shared" si="78"/>
        <v>663</v>
      </c>
      <c r="IF54" s="3"/>
      <c r="IG54">
        <v>4</v>
      </c>
      <c r="IH54">
        <v>73</v>
      </c>
      <c r="II54">
        <v>18</v>
      </c>
      <c r="IJ54">
        <v>174</v>
      </c>
      <c r="IK54" s="3">
        <f t="shared" si="79"/>
        <v>22</v>
      </c>
      <c r="IL54" s="3">
        <f t="shared" si="80"/>
        <v>247</v>
      </c>
      <c r="IR54">
        <v>9</v>
      </c>
      <c r="IS54">
        <v>41</v>
      </c>
      <c r="IT54">
        <v>41</v>
      </c>
      <c r="IU54">
        <v>230</v>
      </c>
      <c r="IV54">
        <v>112</v>
      </c>
      <c r="IW54">
        <v>806</v>
      </c>
      <c r="IX54">
        <v>75</v>
      </c>
      <c r="IY54">
        <v>593</v>
      </c>
      <c r="IZ54">
        <v>25</v>
      </c>
      <c r="JA54">
        <v>199</v>
      </c>
      <c r="JB54">
        <v>12</v>
      </c>
      <c r="JC54">
        <v>120</v>
      </c>
      <c r="JF54" s="3">
        <f t="shared" si="81"/>
        <v>274</v>
      </c>
      <c r="JG54" s="3">
        <f t="shared" si="82"/>
        <v>1989</v>
      </c>
      <c r="JI54" s="5">
        <f t="shared" si="83"/>
        <v>783</v>
      </c>
      <c r="JJ54" s="5">
        <f t="shared" si="84"/>
        <v>5535</v>
      </c>
      <c r="JK54" s="10">
        <f t="shared" si="85"/>
        <v>7.068965517241379</v>
      </c>
      <c r="JR54">
        <v>6</v>
      </c>
      <c r="JS54">
        <v>144</v>
      </c>
      <c r="JT54">
        <v>44</v>
      </c>
      <c r="JU54">
        <v>590</v>
      </c>
      <c r="JV54">
        <v>18</v>
      </c>
      <c r="JW54">
        <v>308</v>
      </c>
      <c r="JX54">
        <v>5</v>
      </c>
      <c r="JY54">
        <v>48</v>
      </c>
      <c r="KB54">
        <v>2</v>
      </c>
      <c r="KC54">
        <v>20</v>
      </c>
      <c r="KD54">
        <v>4</v>
      </c>
      <c r="KE54">
        <v>46</v>
      </c>
      <c r="KF54" s="3">
        <f t="shared" si="86"/>
        <v>79</v>
      </c>
      <c r="KG54" s="3">
        <f t="shared" si="87"/>
        <v>1156</v>
      </c>
      <c r="KJ54">
        <v>2</v>
      </c>
      <c r="KK54">
        <v>17</v>
      </c>
      <c r="KL54">
        <v>7</v>
      </c>
      <c r="KM54">
        <v>264</v>
      </c>
      <c r="KP54" s="3">
        <f t="shared" si="88"/>
        <v>9</v>
      </c>
      <c r="KQ54" s="3">
        <f t="shared" si="89"/>
        <v>281</v>
      </c>
      <c r="KS54" s="5">
        <f t="shared" si="90"/>
        <v>88</v>
      </c>
      <c r="KT54" s="5">
        <f t="shared" si="91"/>
        <v>1437</v>
      </c>
      <c r="KU54" s="10">
        <f t="shared" si="92"/>
        <v>16.329545454545453</v>
      </c>
      <c r="KW54" s="5">
        <f t="shared" si="93"/>
        <v>2135</v>
      </c>
      <c r="KX54" s="5">
        <f t="shared" si="94"/>
        <v>20267</v>
      </c>
      <c r="KY54" s="10">
        <f t="shared" si="95"/>
        <v>9.4927400468384082</v>
      </c>
      <c r="LA54" s="17" t="s">
        <v>347</v>
      </c>
      <c r="LB54">
        <v>329409</v>
      </c>
      <c r="LD54" s="11">
        <f t="shared" si="96"/>
        <v>6.4813043966619004</v>
      </c>
      <c r="LE54" s="11">
        <f t="shared" si="97"/>
        <v>61.525337801942271</v>
      </c>
    </row>
    <row r="55" spans="1:319" ht="15.75" x14ac:dyDescent="0.25">
      <c r="A55" s="22" t="s">
        <v>401</v>
      </c>
      <c r="B55" s="24" t="s">
        <v>348</v>
      </c>
      <c r="C55" s="1"/>
      <c r="D55" s="1"/>
      <c r="E55">
        <v>3</v>
      </c>
      <c r="F55">
        <v>26</v>
      </c>
      <c r="G55">
        <f>5+1</f>
        <v>6</v>
      </c>
      <c r="H55">
        <f>74+11</f>
        <v>85</v>
      </c>
      <c r="L55">
        <v>22</v>
      </c>
      <c r="M55">
        <v>170</v>
      </c>
      <c r="N55" s="3">
        <f t="shared" si="29"/>
        <v>22</v>
      </c>
      <c r="O55" s="3">
        <f t="shared" si="30"/>
        <v>170</v>
      </c>
      <c r="P55" s="5">
        <f t="shared" si="31"/>
        <v>31</v>
      </c>
      <c r="Q55" s="5">
        <f t="shared" si="32"/>
        <v>281</v>
      </c>
      <c r="R55" s="10">
        <f t="shared" si="33"/>
        <v>9.064516129032258</v>
      </c>
      <c r="U55">
        <f>1+1+1+1</f>
        <v>4</v>
      </c>
      <c r="V55">
        <f>7+12+4+5</f>
        <v>28</v>
      </c>
      <c r="W55">
        <f>13+2</f>
        <v>15</v>
      </c>
      <c r="X55">
        <f>128+18</f>
        <v>146</v>
      </c>
      <c r="Y55">
        <v>19</v>
      </c>
      <c r="Z55">
        <v>188</v>
      </c>
      <c r="AA55" s="3">
        <f t="shared" si="34"/>
        <v>38</v>
      </c>
      <c r="AB55" s="3">
        <f t="shared" si="35"/>
        <v>362</v>
      </c>
      <c r="AD55">
        <f>2+13+1</f>
        <v>16</v>
      </c>
      <c r="AE55">
        <f>63+130+13</f>
        <v>206</v>
      </c>
      <c r="AF55">
        <v>5</v>
      </c>
      <c r="AG55">
        <v>86</v>
      </c>
      <c r="AI55">
        <f>5+1+4</f>
        <v>10</v>
      </c>
      <c r="AJ55">
        <f>42+9+28</f>
        <v>79</v>
      </c>
      <c r="AK55">
        <v>12</v>
      </c>
      <c r="AL55">
        <v>98</v>
      </c>
      <c r="AM55" s="3">
        <f t="shared" si="36"/>
        <v>22</v>
      </c>
      <c r="AN55" s="3">
        <f t="shared" si="37"/>
        <v>177</v>
      </c>
      <c r="AP55" s="5">
        <f t="shared" si="38"/>
        <v>81</v>
      </c>
      <c r="AQ55" s="5">
        <f t="shared" si="39"/>
        <v>831</v>
      </c>
      <c r="AR55" s="10">
        <f t="shared" si="40"/>
        <v>10.25925925925926</v>
      </c>
      <c r="AU55">
        <f>42+2</f>
        <v>44</v>
      </c>
      <c r="AV55">
        <f>274+28</f>
        <v>302</v>
      </c>
      <c r="AW55">
        <v>17</v>
      </c>
      <c r="AX55">
        <v>90</v>
      </c>
      <c r="AY55" s="3">
        <f t="shared" si="41"/>
        <v>61</v>
      </c>
      <c r="AZ55" s="3">
        <f t="shared" si="42"/>
        <v>392</v>
      </c>
      <c r="BB55">
        <v>3</v>
      </c>
      <c r="BC55">
        <v>89</v>
      </c>
      <c r="BD55">
        <f>1+2</f>
        <v>3</v>
      </c>
      <c r="BE55">
        <f>5+14</f>
        <v>19</v>
      </c>
      <c r="BF55" s="13">
        <f t="shared" si="43"/>
        <v>67</v>
      </c>
      <c r="BG55" s="13">
        <f t="shared" si="44"/>
        <v>500</v>
      </c>
      <c r="BH55" s="10">
        <f t="shared" si="45"/>
        <v>7.4626865671641793</v>
      </c>
      <c r="BI55" s="10"/>
      <c r="BM55">
        <v>14</v>
      </c>
      <c r="BN55">
        <v>316</v>
      </c>
      <c r="BO55" s="14">
        <f t="shared" si="46"/>
        <v>14</v>
      </c>
      <c r="BP55" s="14">
        <f t="shared" si="47"/>
        <v>316</v>
      </c>
      <c r="BR55">
        <v>1</v>
      </c>
      <c r="BS55">
        <v>10</v>
      </c>
      <c r="BT55">
        <v>16</v>
      </c>
      <c r="BU55">
        <v>201</v>
      </c>
      <c r="BX55" s="14">
        <f t="shared" si="48"/>
        <v>17</v>
      </c>
      <c r="BY55" s="14">
        <f t="shared" si="49"/>
        <v>211</v>
      </c>
      <c r="CC55">
        <f>1+1+1</f>
        <v>3</v>
      </c>
      <c r="CD55">
        <f>19+4+7</f>
        <v>30</v>
      </c>
      <c r="CE55" s="13">
        <f t="shared" si="50"/>
        <v>34</v>
      </c>
      <c r="CF55" s="13">
        <f t="shared" si="51"/>
        <v>557</v>
      </c>
      <c r="CG55" s="10">
        <f t="shared" si="52"/>
        <v>16.382352941176471</v>
      </c>
      <c r="CH55" s="10"/>
      <c r="CJ55">
        <v>2</v>
      </c>
      <c r="CK55">
        <v>10</v>
      </c>
      <c r="CL55">
        <v>1</v>
      </c>
      <c r="CM55">
        <v>7</v>
      </c>
      <c r="CN55" s="14">
        <f t="shared" si="53"/>
        <v>3</v>
      </c>
      <c r="CO55" s="14">
        <f t="shared" si="54"/>
        <v>17</v>
      </c>
      <c r="CP55" s="12"/>
      <c r="CT55">
        <v>151</v>
      </c>
      <c r="CU55">
        <v>2000</v>
      </c>
      <c r="CX55">
        <f>17+32</f>
        <v>49</v>
      </c>
      <c r="CY55">
        <f>186+259</f>
        <v>445</v>
      </c>
      <c r="DJ55">
        <v>4</v>
      </c>
      <c r="DK55">
        <v>49</v>
      </c>
      <c r="DR55">
        <v>4</v>
      </c>
      <c r="DS55">
        <v>16</v>
      </c>
      <c r="DU55">
        <v>6</v>
      </c>
      <c r="DV55" s="3">
        <f t="shared" si="55"/>
        <v>208</v>
      </c>
      <c r="DW55" s="3">
        <f t="shared" si="56"/>
        <v>2516</v>
      </c>
      <c r="DY55">
        <v>16</v>
      </c>
      <c r="DZ55">
        <v>230</v>
      </c>
      <c r="EA55">
        <v>3</v>
      </c>
      <c r="EB55">
        <v>14</v>
      </c>
      <c r="EG55">
        <v>44</v>
      </c>
      <c r="EH55">
        <v>819</v>
      </c>
      <c r="EI55">
        <v>8</v>
      </c>
      <c r="EJ55">
        <v>63</v>
      </c>
      <c r="EK55" s="3">
        <f t="shared" si="57"/>
        <v>71</v>
      </c>
      <c r="EL55" s="3">
        <f t="shared" si="58"/>
        <v>1126</v>
      </c>
      <c r="EM55" s="5">
        <f t="shared" si="59"/>
        <v>282</v>
      </c>
      <c r="EN55" s="5">
        <f t="shared" si="60"/>
        <v>3659</v>
      </c>
      <c r="EO55" s="10">
        <f t="shared" si="61"/>
        <v>12.975177304964539</v>
      </c>
      <c r="EU55">
        <f>1+26+3</f>
        <v>30</v>
      </c>
      <c r="EV55">
        <f>20+319+16</f>
        <v>355</v>
      </c>
      <c r="EW55">
        <v>61</v>
      </c>
      <c r="EX55">
        <v>709</v>
      </c>
      <c r="EY55" s="3">
        <f t="shared" si="62"/>
        <v>91</v>
      </c>
      <c r="EZ55" s="3">
        <f t="shared" si="63"/>
        <v>1064</v>
      </c>
      <c r="FD55">
        <v>52</v>
      </c>
      <c r="FE55">
        <v>482</v>
      </c>
      <c r="FF55">
        <v>28</v>
      </c>
      <c r="FG55">
        <v>228</v>
      </c>
      <c r="FH55" s="3">
        <f t="shared" si="64"/>
        <v>80</v>
      </c>
      <c r="FI55" s="3">
        <f t="shared" si="65"/>
        <v>710</v>
      </c>
      <c r="FK55">
        <f>1+1</f>
        <v>2</v>
      </c>
      <c r="FL55">
        <f>29+11</f>
        <v>40</v>
      </c>
      <c r="FO55">
        <v>6</v>
      </c>
      <c r="FP55">
        <v>52</v>
      </c>
      <c r="FQ55" s="3">
        <f t="shared" si="66"/>
        <v>8</v>
      </c>
      <c r="FR55" s="3">
        <f t="shared" si="67"/>
        <v>92</v>
      </c>
      <c r="FT55">
        <v>1</v>
      </c>
      <c r="FU55">
        <v>8</v>
      </c>
      <c r="FV55">
        <v>6</v>
      </c>
      <c r="FW55">
        <v>35</v>
      </c>
      <c r="FX55">
        <v>1</v>
      </c>
      <c r="FY55">
        <v>7</v>
      </c>
      <c r="FZ55">
        <v>3</v>
      </c>
      <c r="GA55">
        <v>19</v>
      </c>
      <c r="GB55" s="3">
        <f t="shared" si="68"/>
        <v>11</v>
      </c>
      <c r="GC55" s="3">
        <f t="shared" si="69"/>
        <v>69</v>
      </c>
      <c r="GE55">
        <v>6</v>
      </c>
      <c r="GF55">
        <v>13</v>
      </c>
      <c r="GK55">
        <v>86</v>
      </c>
      <c r="GL55">
        <v>574</v>
      </c>
      <c r="GO55">
        <v>2</v>
      </c>
      <c r="GP55">
        <v>7</v>
      </c>
      <c r="GQ55">
        <v>5</v>
      </c>
      <c r="GR55">
        <v>23</v>
      </c>
      <c r="GS55" s="3">
        <f t="shared" si="70"/>
        <v>99</v>
      </c>
      <c r="GT55" s="3">
        <f t="shared" si="71"/>
        <v>617</v>
      </c>
      <c r="GU55" s="5">
        <f t="shared" si="72"/>
        <v>289</v>
      </c>
      <c r="GV55" s="5">
        <f t="shared" si="73"/>
        <v>2552</v>
      </c>
      <c r="GW55" s="10">
        <f t="shared" si="74"/>
        <v>8.8304498269896197</v>
      </c>
      <c r="GZ55">
        <v>5</v>
      </c>
      <c r="HA55">
        <v>22</v>
      </c>
      <c r="HB55">
        <v>63</v>
      </c>
      <c r="HC55">
        <v>626</v>
      </c>
      <c r="HD55">
        <v>8</v>
      </c>
      <c r="HE55">
        <v>44</v>
      </c>
      <c r="HF55">
        <v>81</v>
      </c>
      <c r="HG55">
        <v>562</v>
      </c>
      <c r="HH55">
        <v>104</v>
      </c>
      <c r="HI55">
        <v>807</v>
      </c>
      <c r="HJ55">
        <v>31</v>
      </c>
      <c r="HK55">
        <v>303</v>
      </c>
      <c r="HL55">
        <v>16</v>
      </c>
      <c r="HM55">
        <v>118</v>
      </c>
      <c r="HN55">
        <v>3</v>
      </c>
      <c r="HO55">
        <v>24</v>
      </c>
      <c r="HP55" s="3">
        <f t="shared" si="75"/>
        <v>311</v>
      </c>
      <c r="HQ55" s="3">
        <f t="shared" si="76"/>
        <v>2506</v>
      </c>
      <c r="HT55">
        <v>1</v>
      </c>
      <c r="HU55">
        <v>13</v>
      </c>
      <c r="HV55">
        <v>48</v>
      </c>
      <c r="HW55">
        <v>393</v>
      </c>
      <c r="HX55">
        <v>29</v>
      </c>
      <c r="HY55">
        <v>280</v>
      </c>
      <c r="HZ55">
        <v>1</v>
      </c>
      <c r="IA55">
        <v>15</v>
      </c>
      <c r="ID55" s="3">
        <f t="shared" si="77"/>
        <v>79</v>
      </c>
      <c r="IE55" s="3">
        <f t="shared" si="78"/>
        <v>701</v>
      </c>
      <c r="IF55" s="3"/>
      <c r="IG55">
        <v>3</v>
      </c>
      <c r="IH55">
        <v>130</v>
      </c>
      <c r="II55">
        <v>6</v>
      </c>
      <c r="IJ55">
        <v>49</v>
      </c>
      <c r="IK55" s="3">
        <f t="shared" si="79"/>
        <v>9</v>
      </c>
      <c r="IL55" s="3">
        <f t="shared" si="80"/>
        <v>179</v>
      </c>
      <c r="IR55">
        <f>1+1+1+2</f>
        <v>5</v>
      </c>
      <c r="IS55">
        <f>4+6+7+28</f>
        <v>45</v>
      </c>
      <c r="IT55">
        <v>10</v>
      </c>
      <c r="IU55">
        <v>46</v>
      </c>
      <c r="IV55">
        <v>72</v>
      </c>
      <c r="IW55">
        <v>554</v>
      </c>
      <c r="IX55">
        <v>16</v>
      </c>
      <c r="IY55">
        <v>102</v>
      </c>
      <c r="IZ55">
        <v>32</v>
      </c>
      <c r="JA55">
        <v>222</v>
      </c>
      <c r="JB55">
        <v>5</v>
      </c>
      <c r="JC55">
        <v>32</v>
      </c>
      <c r="JD55">
        <v>2</v>
      </c>
      <c r="JE55">
        <v>10</v>
      </c>
      <c r="JF55" s="3">
        <f t="shared" si="81"/>
        <v>142</v>
      </c>
      <c r="JG55" s="3">
        <f t="shared" si="82"/>
        <v>1011</v>
      </c>
      <c r="JI55" s="5">
        <f t="shared" si="83"/>
        <v>541</v>
      </c>
      <c r="JJ55" s="5">
        <f t="shared" si="84"/>
        <v>4397</v>
      </c>
      <c r="JK55" s="10">
        <f t="shared" si="85"/>
        <v>8.1275415896487981</v>
      </c>
      <c r="JN55">
        <v>1</v>
      </c>
      <c r="JO55">
        <v>24</v>
      </c>
      <c r="JT55">
        <v>16</v>
      </c>
      <c r="JU55">
        <v>216</v>
      </c>
      <c r="JV55">
        <v>29</v>
      </c>
      <c r="JW55">
        <v>272</v>
      </c>
      <c r="JZ55">
        <v>1</v>
      </c>
      <c r="KA55">
        <v>5</v>
      </c>
      <c r="KB55">
        <v>5</v>
      </c>
      <c r="KC55">
        <v>25</v>
      </c>
      <c r="KD55">
        <v>3</v>
      </c>
      <c r="KE55">
        <v>23</v>
      </c>
      <c r="KF55" s="3">
        <f t="shared" si="86"/>
        <v>55</v>
      </c>
      <c r="KG55" s="3">
        <f t="shared" si="87"/>
        <v>565</v>
      </c>
      <c r="KJ55">
        <f>1+1</f>
        <v>2</v>
      </c>
      <c r="KK55">
        <f>17+12</f>
        <v>29</v>
      </c>
      <c r="KL55">
        <v>2</v>
      </c>
      <c r="KM55">
        <v>54</v>
      </c>
      <c r="KP55" s="3">
        <f t="shared" si="88"/>
        <v>4</v>
      </c>
      <c r="KQ55" s="3">
        <f t="shared" si="89"/>
        <v>83</v>
      </c>
      <c r="KS55" s="5">
        <f t="shared" si="90"/>
        <v>59</v>
      </c>
      <c r="KT55" s="5">
        <f t="shared" si="91"/>
        <v>648</v>
      </c>
      <c r="KU55" s="10">
        <f t="shared" si="92"/>
        <v>10.983050847457626</v>
      </c>
      <c r="KW55" s="5">
        <f t="shared" si="93"/>
        <v>1384</v>
      </c>
      <c r="KX55" s="5">
        <f t="shared" si="94"/>
        <v>13425</v>
      </c>
      <c r="KY55" s="10">
        <f t="shared" si="95"/>
        <v>9.7001445086705207</v>
      </c>
      <c r="LA55" s="15" t="s">
        <v>349</v>
      </c>
      <c r="LB55">
        <v>303120</v>
      </c>
      <c r="LD55" s="11">
        <f t="shared" si="96"/>
        <v>4.5658485088413832</v>
      </c>
      <c r="LE55" s="11">
        <f t="shared" si="97"/>
        <v>44.289390340459221</v>
      </c>
    </row>
    <row r="56" spans="1:319" ht="15.75" x14ac:dyDescent="0.25">
      <c r="A56" s="22" t="s">
        <v>402</v>
      </c>
      <c r="B56" s="24" t="s">
        <v>350</v>
      </c>
      <c r="C56" s="1"/>
      <c r="D56" s="1"/>
      <c r="G56">
        <f>2+1+1</f>
        <v>4</v>
      </c>
      <c r="H56">
        <f>24+11+10</f>
        <v>45</v>
      </c>
      <c r="L56">
        <v>10</v>
      </c>
      <c r="M56">
        <v>89</v>
      </c>
      <c r="N56" s="3">
        <f t="shared" si="29"/>
        <v>10</v>
      </c>
      <c r="O56" s="3">
        <f t="shared" si="30"/>
        <v>89</v>
      </c>
      <c r="P56" s="5">
        <f t="shared" si="31"/>
        <v>14</v>
      </c>
      <c r="Q56" s="5">
        <f t="shared" si="32"/>
        <v>134</v>
      </c>
      <c r="R56" s="10">
        <f t="shared" si="33"/>
        <v>9.5714285714285712</v>
      </c>
      <c r="U56">
        <f>1+2</f>
        <v>3</v>
      </c>
      <c r="V56">
        <f>5+20</f>
        <v>25</v>
      </c>
      <c r="W56">
        <v>16</v>
      </c>
      <c r="X56">
        <v>114</v>
      </c>
      <c r="Y56">
        <v>6</v>
      </c>
      <c r="Z56">
        <v>49</v>
      </c>
      <c r="AA56" s="3">
        <f t="shared" si="34"/>
        <v>25</v>
      </c>
      <c r="AB56" s="3">
        <f t="shared" si="35"/>
        <v>188</v>
      </c>
      <c r="AD56">
        <v>3</v>
      </c>
      <c r="AE56">
        <v>30</v>
      </c>
      <c r="AF56">
        <v>6</v>
      </c>
      <c r="AG56">
        <v>55</v>
      </c>
      <c r="AK56">
        <v>2</v>
      </c>
      <c r="AL56">
        <v>14</v>
      </c>
      <c r="AM56" s="3">
        <f t="shared" si="36"/>
        <v>2</v>
      </c>
      <c r="AN56" s="3">
        <f t="shared" si="37"/>
        <v>14</v>
      </c>
      <c r="AP56" s="5">
        <f t="shared" si="38"/>
        <v>36</v>
      </c>
      <c r="AQ56" s="5">
        <f t="shared" si="39"/>
        <v>287</v>
      </c>
      <c r="AR56" s="10">
        <f t="shared" si="40"/>
        <v>7.9722222222222223</v>
      </c>
      <c r="AU56">
        <v>5</v>
      </c>
      <c r="AV56">
        <v>34</v>
      </c>
      <c r="AW56">
        <v>18</v>
      </c>
      <c r="AX56">
        <v>104</v>
      </c>
      <c r="AY56" s="3">
        <f t="shared" si="41"/>
        <v>23</v>
      </c>
      <c r="AZ56" s="3">
        <f t="shared" si="42"/>
        <v>138</v>
      </c>
      <c r="BF56" s="13">
        <f t="shared" si="43"/>
        <v>23</v>
      </c>
      <c r="BG56" s="13">
        <f t="shared" si="44"/>
        <v>138</v>
      </c>
      <c r="BH56" s="10">
        <f t="shared" si="45"/>
        <v>6</v>
      </c>
      <c r="BI56" s="10"/>
      <c r="BM56">
        <v>10</v>
      </c>
      <c r="BN56">
        <v>214</v>
      </c>
      <c r="BO56" s="14">
        <f t="shared" si="46"/>
        <v>10</v>
      </c>
      <c r="BP56" s="14">
        <f t="shared" si="47"/>
        <v>214</v>
      </c>
      <c r="BR56">
        <v>1</v>
      </c>
      <c r="BS56">
        <v>11</v>
      </c>
      <c r="BT56">
        <v>10</v>
      </c>
      <c r="BU56">
        <v>93</v>
      </c>
      <c r="BX56" s="14">
        <f t="shared" si="48"/>
        <v>11</v>
      </c>
      <c r="BY56" s="14">
        <f t="shared" si="49"/>
        <v>104</v>
      </c>
      <c r="CE56" s="13">
        <f t="shared" si="50"/>
        <v>21</v>
      </c>
      <c r="CF56" s="13">
        <f t="shared" si="51"/>
        <v>318</v>
      </c>
      <c r="CG56" s="10">
        <f t="shared" si="52"/>
        <v>15.142857142857142</v>
      </c>
      <c r="CH56" s="10"/>
      <c r="CL56">
        <v>1</v>
      </c>
      <c r="CM56">
        <v>23</v>
      </c>
      <c r="CN56" s="14">
        <f t="shared" si="53"/>
        <v>1</v>
      </c>
      <c r="CO56" s="14">
        <f t="shared" si="54"/>
        <v>23</v>
      </c>
      <c r="CP56" s="12"/>
      <c r="CX56">
        <v>14</v>
      </c>
      <c r="CY56">
        <v>117</v>
      </c>
      <c r="DJ56">
        <v>1</v>
      </c>
      <c r="DK56">
        <v>20</v>
      </c>
      <c r="DT56">
        <v>1</v>
      </c>
      <c r="DV56" s="3">
        <f t="shared" si="55"/>
        <v>16</v>
      </c>
      <c r="DW56" s="3">
        <f t="shared" si="56"/>
        <v>137</v>
      </c>
      <c r="DY56">
        <v>4</v>
      </c>
      <c r="DZ56">
        <v>215</v>
      </c>
      <c r="EG56">
        <v>24</v>
      </c>
      <c r="EH56">
        <v>1122</v>
      </c>
      <c r="EI56">
        <v>1</v>
      </c>
      <c r="EJ56">
        <v>14</v>
      </c>
      <c r="EK56" s="3">
        <f t="shared" si="57"/>
        <v>29</v>
      </c>
      <c r="EL56" s="3">
        <f t="shared" si="58"/>
        <v>1351</v>
      </c>
      <c r="EM56" s="5">
        <f t="shared" si="59"/>
        <v>46</v>
      </c>
      <c r="EN56" s="5">
        <f t="shared" si="60"/>
        <v>1511</v>
      </c>
      <c r="EO56" s="10">
        <f t="shared" si="61"/>
        <v>32.847826086956523</v>
      </c>
      <c r="EY56" s="3">
        <f t="shared" si="62"/>
        <v>0</v>
      </c>
      <c r="EZ56" s="3">
        <f t="shared" si="63"/>
        <v>0</v>
      </c>
      <c r="FD56">
        <v>3</v>
      </c>
      <c r="FE56">
        <v>19</v>
      </c>
      <c r="FF56">
        <v>4</v>
      </c>
      <c r="FG56">
        <v>27</v>
      </c>
      <c r="FH56" s="3">
        <f t="shared" si="64"/>
        <v>7</v>
      </c>
      <c r="FI56" s="3">
        <f t="shared" si="65"/>
        <v>46</v>
      </c>
      <c r="FO56">
        <v>2</v>
      </c>
      <c r="FP56">
        <v>16</v>
      </c>
      <c r="FQ56" s="3">
        <f t="shared" si="66"/>
        <v>2</v>
      </c>
      <c r="FR56" s="3">
        <f t="shared" si="67"/>
        <v>16</v>
      </c>
      <c r="FX56">
        <v>5</v>
      </c>
      <c r="FY56">
        <v>46</v>
      </c>
      <c r="FZ56">
        <v>1</v>
      </c>
      <c r="GA56">
        <v>5</v>
      </c>
      <c r="GB56" s="3">
        <f t="shared" si="68"/>
        <v>6</v>
      </c>
      <c r="GC56" s="3">
        <f t="shared" si="69"/>
        <v>51</v>
      </c>
      <c r="GG56">
        <v>1</v>
      </c>
      <c r="GH56">
        <v>14</v>
      </c>
      <c r="GK56">
        <v>39</v>
      </c>
      <c r="GL56">
        <v>433</v>
      </c>
      <c r="GS56" s="3">
        <f t="shared" si="70"/>
        <v>40</v>
      </c>
      <c r="GT56" s="3">
        <f t="shared" si="71"/>
        <v>447</v>
      </c>
      <c r="GU56" s="5">
        <f t="shared" si="72"/>
        <v>55</v>
      </c>
      <c r="GV56" s="5">
        <f t="shared" si="73"/>
        <v>560</v>
      </c>
      <c r="GW56" s="10">
        <f t="shared" si="74"/>
        <v>10.181818181818182</v>
      </c>
      <c r="HB56">
        <v>72</v>
      </c>
      <c r="HC56">
        <v>612</v>
      </c>
      <c r="HF56">
        <v>20</v>
      </c>
      <c r="HG56">
        <v>164</v>
      </c>
      <c r="HH56">
        <v>137</v>
      </c>
      <c r="HI56">
        <v>1000</v>
      </c>
      <c r="HJ56">
        <v>16</v>
      </c>
      <c r="HK56">
        <v>133</v>
      </c>
      <c r="HL56">
        <v>9</v>
      </c>
      <c r="HM56">
        <v>56</v>
      </c>
      <c r="HN56">
        <v>1</v>
      </c>
      <c r="HO56">
        <v>9</v>
      </c>
      <c r="HP56" s="3">
        <f t="shared" si="75"/>
        <v>255</v>
      </c>
      <c r="HQ56" s="3">
        <f t="shared" si="76"/>
        <v>1974</v>
      </c>
      <c r="HV56">
        <v>26</v>
      </c>
      <c r="HW56">
        <v>195</v>
      </c>
      <c r="HX56">
        <v>6</v>
      </c>
      <c r="HY56">
        <v>56</v>
      </c>
      <c r="HZ56">
        <v>1</v>
      </c>
      <c r="IA56">
        <v>14</v>
      </c>
      <c r="ID56" s="3">
        <f t="shared" si="77"/>
        <v>33</v>
      </c>
      <c r="IE56" s="3">
        <f t="shared" si="78"/>
        <v>265</v>
      </c>
      <c r="IF56" s="3"/>
      <c r="IG56">
        <v>2</v>
      </c>
      <c r="IH56">
        <v>18</v>
      </c>
      <c r="II56">
        <v>4</v>
      </c>
      <c r="IJ56">
        <v>28</v>
      </c>
      <c r="IK56" s="3">
        <f t="shared" si="79"/>
        <v>6</v>
      </c>
      <c r="IL56" s="3">
        <f t="shared" si="80"/>
        <v>46</v>
      </c>
      <c r="IR56">
        <v>1</v>
      </c>
      <c r="IS56">
        <v>8</v>
      </c>
      <c r="IV56">
        <v>32</v>
      </c>
      <c r="IW56">
        <v>236</v>
      </c>
      <c r="IX56">
        <v>5</v>
      </c>
      <c r="IY56">
        <v>39</v>
      </c>
      <c r="IZ56">
        <v>1</v>
      </c>
      <c r="JA56">
        <v>11</v>
      </c>
      <c r="JB56">
        <v>2</v>
      </c>
      <c r="JC56">
        <v>11</v>
      </c>
      <c r="JF56" s="3">
        <f t="shared" si="81"/>
        <v>41</v>
      </c>
      <c r="JG56" s="3">
        <f t="shared" si="82"/>
        <v>305</v>
      </c>
      <c r="JI56" s="5">
        <f t="shared" si="83"/>
        <v>335</v>
      </c>
      <c r="JJ56" s="5">
        <f t="shared" si="84"/>
        <v>2590</v>
      </c>
      <c r="JK56" s="10">
        <f t="shared" si="85"/>
        <v>7.7313432835820892</v>
      </c>
      <c r="JT56">
        <v>11</v>
      </c>
      <c r="JU56">
        <v>115</v>
      </c>
      <c r="JV56">
        <v>13</v>
      </c>
      <c r="JW56">
        <v>96</v>
      </c>
      <c r="JZ56">
        <v>1</v>
      </c>
      <c r="KA56">
        <v>10</v>
      </c>
      <c r="KB56">
        <v>2</v>
      </c>
      <c r="KC56">
        <v>46</v>
      </c>
      <c r="KF56" s="3">
        <f t="shared" si="86"/>
        <v>27</v>
      </c>
      <c r="KG56" s="3">
        <f t="shared" si="87"/>
        <v>267</v>
      </c>
      <c r="KL56">
        <v>1</v>
      </c>
      <c r="KM56">
        <v>10</v>
      </c>
      <c r="KP56" s="3">
        <f t="shared" si="88"/>
        <v>1</v>
      </c>
      <c r="KQ56" s="3">
        <f t="shared" si="89"/>
        <v>10</v>
      </c>
      <c r="KS56" s="5">
        <f t="shared" si="90"/>
        <v>28</v>
      </c>
      <c r="KT56" s="5">
        <f t="shared" si="91"/>
        <v>277</v>
      </c>
      <c r="KU56" s="10">
        <f t="shared" si="92"/>
        <v>9.8928571428571423</v>
      </c>
      <c r="KW56" s="5">
        <f t="shared" si="93"/>
        <v>558</v>
      </c>
      <c r="KX56" s="5">
        <f t="shared" si="94"/>
        <v>5815</v>
      </c>
      <c r="KY56" s="10">
        <f t="shared" si="95"/>
        <v>10.421146953405017</v>
      </c>
      <c r="LA56" s="17" t="s">
        <v>351</v>
      </c>
      <c r="LB56">
        <v>251988</v>
      </c>
      <c r="LD56" s="11">
        <f t="shared" si="96"/>
        <v>2.21439116148388</v>
      </c>
      <c r="LE56" s="11">
        <f t="shared" si="97"/>
        <v>23.076495706144737</v>
      </c>
      <c r="LF56" s="8"/>
    </row>
    <row r="57" spans="1:319" ht="15.75" x14ac:dyDescent="0.25">
      <c r="A57" s="22" t="s">
        <v>403</v>
      </c>
      <c r="B57" s="24" t="s">
        <v>352</v>
      </c>
      <c r="C57" s="1"/>
      <c r="D57" s="1"/>
      <c r="G57">
        <v>5</v>
      </c>
      <c r="H57">
        <v>44</v>
      </c>
      <c r="L57">
        <v>31</v>
      </c>
      <c r="M57">
        <v>237</v>
      </c>
      <c r="N57" s="3">
        <f t="shared" si="29"/>
        <v>31</v>
      </c>
      <c r="O57" s="3">
        <f t="shared" si="30"/>
        <v>237</v>
      </c>
      <c r="P57" s="5">
        <f t="shared" si="31"/>
        <v>36</v>
      </c>
      <c r="Q57" s="5">
        <f t="shared" si="32"/>
        <v>281</v>
      </c>
      <c r="R57" s="10">
        <f t="shared" si="33"/>
        <v>7.8055555555555554</v>
      </c>
      <c r="U57">
        <f>1+1+1+2</f>
        <v>5</v>
      </c>
      <c r="V57">
        <f>8+16+8+13</f>
        <v>45</v>
      </c>
      <c r="W57">
        <v>37</v>
      </c>
      <c r="X57">
        <v>357</v>
      </c>
      <c r="Y57">
        <v>16</v>
      </c>
      <c r="Z57">
        <v>130</v>
      </c>
      <c r="AA57" s="3">
        <f t="shared" si="34"/>
        <v>58</v>
      </c>
      <c r="AB57" s="3">
        <f t="shared" si="35"/>
        <v>532</v>
      </c>
      <c r="AD57">
        <v>5</v>
      </c>
      <c r="AE57">
        <v>50</v>
      </c>
      <c r="AF57">
        <v>4</v>
      </c>
      <c r="AG57">
        <v>33</v>
      </c>
      <c r="AI57">
        <f>1+1</f>
        <v>2</v>
      </c>
      <c r="AJ57">
        <f>8+7</f>
        <v>15</v>
      </c>
      <c r="AK57">
        <v>8</v>
      </c>
      <c r="AL57">
        <v>72</v>
      </c>
      <c r="AM57" s="3">
        <f t="shared" si="36"/>
        <v>10</v>
      </c>
      <c r="AN57" s="3">
        <f t="shared" si="37"/>
        <v>87</v>
      </c>
      <c r="AP57" s="5">
        <f t="shared" si="38"/>
        <v>77</v>
      </c>
      <c r="AQ57" s="5">
        <f t="shared" si="39"/>
        <v>702</v>
      </c>
      <c r="AR57" s="10">
        <f t="shared" si="40"/>
        <v>9.1168831168831161</v>
      </c>
      <c r="AU57">
        <f>1+1</f>
        <v>2</v>
      </c>
      <c r="AV57">
        <f>8+24</f>
        <v>32</v>
      </c>
      <c r="AW57">
        <v>38</v>
      </c>
      <c r="AX57">
        <v>242</v>
      </c>
      <c r="AY57" s="3">
        <f t="shared" si="41"/>
        <v>40</v>
      </c>
      <c r="AZ57" s="3">
        <f t="shared" si="42"/>
        <v>274</v>
      </c>
      <c r="BB57">
        <v>1</v>
      </c>
      <c r="BC57">
        <v>56</v>
      </c>
      <c r="BD57">
        <v>12</v>
      </c>
      <c r="BE57">
        <v>10</v>
      </c>
      <c r="BF57" s="13">
        <f t="shared" si="43"/>
        <v>53</v>
      </c>
      <c r="BG57" s="13">
        <f t="shared" si="44"/>
        <v>340</v>
      </c>
      <c r="BH57" s="10">
        <f t="shared" si="45"/>
        <v>6.4150943396226419</v>
      </c>
      <c r="BI57" s="10"/>
      <c r="BM57">
        <v>8</v>
      </c>
      <c r="BN57">
        <v>318</v>
      </c>
      <c r="BO57" s="14">
        <f t="shared" si="46"/>
        <v>8</v>
      </c>
      <c r="BP57" s="14">
        <f t="shared" si="47"/>
        <v>318</v>
      </c>
      <c r="BT57">
        <v>20</v>
      </c>
      <c r="BU57">
        <v>201</v>
      </c>
      <c r="BX57" s="14">
        <f t="shared" si="48"/>
        <v>20</v>
      </c>
      <c r="BY57" s="14">
        <f t="shared" si="49"/>
        <v>201</v>
      </c>
      <c r="CC57">
        <v>1</v>
      </c>
      <c r="CD57">
        <v>8</v>
      </c>
      <c r="CE57" s="13">
        <f t="shared" si="50"/>
        <v>29</v>
      </c>
      <c r="CF57" s="13">
        <f t="shared" si="51"/>
        <v>527</v>
      </c>
      <c r="CG57" s="10">
        <f t="shared" si="52"/>
        <v>18.172413793103448</v>
      </c>
      <c r="CH57" s="10"/>
      <c r="CN57" s="14">
        <f t="shared" si="53"/>
        <v>0</v>
      </c>
      <c r="CO57" s="14">
        <f t="shared" si="54"/>
        <v>0</v>
      </c>
      <c r="CP57" s="12"/>
      <c r="CT57">
        <v>291</v>
      </c>
      <c r="CU57">
        <v>4653</v>
      </c>
      <c r="CX57">
        <f>9+66</f>
        <v>75</v>
      </c>
      <c r="CY57">
        <f>88+282</f>
        <v>370</v>
      </c>
      <c r="DJ57">
        <v>5</v>
      </c>
      <c r="DK57">
        <v>50</v>
      </c>
      <c r="DT57">
        <v>3</v>
      </c>
      <c r="DU57">
        <v>20</v>
      </c>
      <c r="DV57" s="3">
        <f t="shared" si="55"/>
        <v>374</v>
      </c>
      <c r="DW57" s="3">
        <f t="shared" si="56"/>
        <v>5093</v>
      </c>
      <c r="DY57">
        <v>7</v>
      </c>
      <c r="DZ57">
        <v>361</v>
      </c>
      <c r="EG57">
        <v>79</v>
      </c>
      <c r="EH57">
        <v>1459</v>
      </c>
      <c r="EK57" s="3">
        <f t="shared" si="57"/>
        <v>86</v>
      </c>
      <c r="EL57" s="3">
        <f t="shared" si="58"/>
        <v>1820</v>
      </c>
      <c r="EM57" s="5">
        <f t="shared" si="59"/>
        <v>460</v>
      </c>
      <c r="EN57" s="5">
        <f t="shared" si="60"/>
        <v>6913</v>
      </c>
      <c r="EO57" s="10">
        <f t="shared" si="61"/>
        <v>15.028260869565218</v>
      </c>
      <c r="EU57">
        <v>1</v>
      </c>
      <c r="EV57">
        <v>8</v>
      </c>
      <c r="EY57" s="3">
        <f t="shared" si="62"/>
        <v>1</v>
      </c>
      <c r="EZ57" s="3">
        <f t="shared" si="63"/>
        <v>8</v>
      </c>
      <c r="FD57">
        <v>24</v>
      </c>
      <c r="FE57">
        <v>194</v>
      </c>
      <c r="FF57">
        <v>4</v>
      </c>
      <c r="FG57">
        <v>32</v>
      </c>
      <c r="FH57" s="3">
        <f t="shared" si="64"/>
        <v>28</v>
      </c>
      <c r="FI57" s="3">
        <f t="shared" si="65"/>
        <v>226</v>
      </c>
      <c r="FQ57" s="3">
        <f t="shared" si="66"/>
        <v>0</v>
      </c>
      <c r="FR57" s="3">
        <f t="shared" si="67"/>
        <v>0</v>
      </c>
      <c r="GB57" s="3">
        <f t="shared" si="68"/>
        <v>0</v>
      </c>
      <c r="GC57" s="3">
        <f t="shared" si="69"/>
        <v>0</v>
      </c>
      <c r="GK57">
        <v>63</v>
      </c>
      <c r="GL57">
        <v>468</v>
      </c>
      <c r="GS57" s="3">
        <f t="shared" si="70"/>
        <v>63</v>
      </c>
      <c r="GT57" s="3">
        <f t="shared" si="71"/>
        <v>468</v>
      </c>
      <c r="GU57" s="5">
        <f t="shared" si="72"/>
        <v>92</v>
      </c>
      <c r="GV57" s="5">
        <f t="shared" si="73"/>
        <v>702</v>
      </c>
      <c r="GW57" s="10">
        <f t="shared" si="74"/>
        <v>7.6304347826086953</v>
      </c>
      <c r="HB57">
        <v>108</v>
      </c>
      <c r="HC57">
        <v>1003</v>
      </c>
      <c r="HF57">
        <v>27</v>
      </c>
      <c r="HG57">
        <v>198</v>
      </c>
      <c r="HH57">
        <v>198</v>
      </c>
      <c r="HI57">
        <v>1239</v>
      </c>
      <c r="HJ57">
        <v>30</v>
      </c>
      <c r="HK57">
        <v>238</v>
      </c>
      <c r="HL57">
        <v>8</v>
      </c>
      <c r="HM57">
        <v>56</v>
      </c>
      <c r="HN57">
        <v>1</v>
      </c>
      <c r="HO57">
        <v>8</v>
      </c>
      <c r="HP57" s="3">
        <f t="shared" si="75"/>
        <v>372</v>
      </c>
      <c r="HQ57" s="3">
        <f t="shared" si="76"/>
        <v>2742</v>
      </c>
      <c r="HV57">
        <v>93</v>
      </c>
      <c r="HW57">
        <v>711</v>
      </c>
      <c r="HX57">
        <v>16</v>
      </c>
      <c r="HY57">
        <v>127</v>
      </c>
      <c r="ID57" s="3">
        <f t="shared" si="77"/>
        <v>109</v>
      </c>
      <c r="IE57" s="3">
        <f t="shared" si="78"/>
        <v>838</v>
      </c>
      <c r="IF57" s="3"/>
      <c r="IG57">
        <v>2</v>
      </c>
      <c r="IH57">
        <v>50</v>
      </c>
      <c r="II57">
        <v>3</v>
      </c>
      <c r="IJ57">
        <v>21</v>
      </c>
      <c r="IK57" s="3">
        <f t="shared" si="79"/>
        <v>5</v>
      </c>
      <c r="IL57" s="3">
        <f t="shared" si="80"/>
        <v>71</v>
      </c>
      <c r="IR57">
        <v>1</v>
      </c>
      <c r="IS57">
        <v>8</v>
      </c>
      <c r="IT57">
        <v>82</v>
      </c>
      <c r="IU57">
        <v>474</v>
      </c>
      <c r="IV57">
        <v>57</v>
      </c>
      <c r="IW57">
        <v>445</v>
      </c>
      <c r="IX57">
        <v>40</v>
      </c>
      <c r="IY57">
        <v>307</v>
      </c>
      <c r="IZ57">
        <v>2</v>
      </c>
      <c r="JA57">
        <v>16</v>
      </c>
      <c r="JB57">
        <v>5</v>
      </c>
      <c r="JC57">
        <v>35</v>
      </c>
      <c r="JF57" s="3">
        <f t="shared" si="81"/>
        <v>187</v>
      </c>
      <c r="JG57" s="3">
        <f t="shared" si="82"/>
        <v>1285</v>
      </c>
      <c r="JI57" s="5">
        <f t="shared" si="83"/>
        <v>673</v>
      </c>
      <c r="JJ57" s="5">
        <f t="shared" si="84"/>
        <v>4936</v>
      </c>
      <c r="JK57" s="10">
        <f t="shared" si="85"/>
        <v>7.3343239227340264</v>
      </c>
      <c r="JR57">
        <v>3</v>
      </c>
      <c r="JS57">
        <v>64</v>
      </c>
      <c r="JT57">
        <v>16</v>
      </c>
      <c r="JU57">
        <v>111</v>
      </c>
      <c r="JV57">
        <v>13</v>
      </c>
      <c r="JW57">
        <v>155</v>
      </c>
      <c r="JZ57">
        <v>1</v>
      </c>
      <c r="KA57">
        <v>9</v>
      </c>
      <c r="KF57" s="3">
        <f t="shared" si="86"/>
        <v>33</v>
      </c>
      <c r="KG57" s="3">
        <f t="shared" si="87"/>
        <v>339</v>
      </c>
      <c r="KL57">
        <v>1</v>
      </c>
      <c r="KM57">
        <v>17</v>
      </c>
      <c r="KP57" s="3">
        <f t="shared" si="88"/>
        <v>1</v>
      </c>
      <c r="KQ57" s="3">
        <f t="shared" si="89"/>
        <v>17</v>
      </c>
      <c r="KS57" s="5">
        <f t="shared" si="90"/>
        <v>34</v>
      </c>
      <c r="KT57" s="5">
        <f t="shared" si="91"/>
        <v>356</v>
      </c>
      <c r="KU57" s="10">
        <f t="shared" si="92"/>
        <v>10.470588235294118</v>
      </c>
      <c r="KW57" s="5">
        <f t="shared" si="93"/>
        <v>1454</v>
      </c>
      <c r="KX57" s="5">
        <f t="shared" si="94"/>
        <v>14757</v>
      </c>
      <c r="KY57" s="10">
        <f t="shared" si="95"/>
        <v>10.149243466299863</v>
      </c>
      <c r="LA57" s="15" t="s">
        <v>353</v>
      </c>
      <c r="LB57">
        <v>338800</v>
      </c>
      <c r="LD57" s="11">
        <f t="shared" si="96"/>
        <v>4.2916174734356556</v>
      </c>
      <c r="LE57" s="11">
        <f t="shared" si="97"/>
        <v>43.556670602125145</v>
      </c>
      <c r="LF57" s="8"/>
    </row>
    <row r="58" spans="1:319" ht="15.75" x14ac:dyDescent="0.25">
      <c r="A58" s="22" t="s">
        <v>404</v>
      </c>
      <c r="B58" s="24" t="s">
        <v>354</v>
      </c>
      <c r="C58" s="1"/>
      <c r="D58" s="1"/>
      <c r="E58">
        <v>1</v>
      </c>
      <c r="F58">
        <v>16</v>
      </c>
      <c r="G58">
        <v>6</v>
      </c>
      <c r="H58">
        <v>56</v>
      </c>
      <c r="L58">
        <v>24</v>
      </c>
      <c r="M58">
        <v>145</v>
      </c>
      <c r="N58" s="3">
        <f t="shared" si="29"/>
        <v>24</v>
      </c>
      <c r="O58" s="3">
        <f t="shared" si="30"/>
        <v>145</v>
      </c>
      <c r="P58" s="5">
        <f t="shared" si="31"/>
        <v>31</v>
      </c>
      <c r="Q58" s="5">
        <f t="shared" si="32"/>
        <v>217</v>
      </c>
      <c r="R58" s="10">
        <f t="shared" si="33"/>
        <v>7</v>
      </c>
      <c r="U58">
        <f>8+3+1</f>
        <v>12</v>
      </c>
      <c r="V58">
        <f>43+19+9</f>
        <v>71</v>
      </c>
      <c r="W58">
        <v>44</v>
      </c>
      <c r="X58">
        <v>248</v>
      </c>
      <c r="Y58">
        <v>15</v>
      </c>
      <c r="Z58">
        <v>95</v>
      </c>
      <c r="AA58" s="3">
        <f t="shared" si="34"/>
        <v>71</v>
      </c>
      <c r="AB58" s="3">
        <f t="shared" si="35"/>
        <v>414</v>
      </c>
      <c r="AD58">
        <v>3</v>
      </c>
      <c r="AE58">
        <v>43</v>
      </c>
      <c r="AF58">
        <v>9</v>
      </c>
      <c r="AG58">
        <v>120</v>
      </c>
      <c r="AI58">
        <f>2+2+2</f>
        <v>6</v>
      </c>
      <c r="AJ58">
        <f>32+10+19</f>
        <v>61</v>
      </c>
      <c r="AK58">
        <v>5</v>
      </c>
      <c r="AL58">
        <v>42</v>
      </c>
      <c r="AM58" s="3">
        <f t="shared" si="36"/>
        <v>11</v>
      </c>
      <c r="AN58" s="3">
        <f t="shared" si="37"/>
        <v>103</v>
      </c>
      <c r="AP58" s="5">
        <f t="shared" si="38"/>
        <v>94</v>
      </c>
      <c r="AQ58" s="5">
        <f t="shared" si="39"/>
        <v>680</v>
      </c>
      <c r="AR58" s="10">
        <f t="shared" si="40"/>
        <v>7.2340425531914896</v>
      </c>
      <c r="AU58">
        <v>1</v>
      </c>
      <c r="AV58">
        <v>11</v>
      </c>
      <c r="AW58">
        <v>189</v>
      </c>
      <c r="AX58">
        <v>707</v>
      </c>
      <c r="AY58" s="3">
        <f t="shared" si="41"/>
        <v>190</v>
      </c>
      <c r="AZ58" s="3">
        <f t="shared" si="42"/>
        <v>718</v>
      </c>
      <c r="BB58">
        <v>1</v>
      </c>
      <c r="BC58">
        <v>73</v>
      </c>
      <c r="BD58">
        <v>6</v>
      </c>
      <c r="BE58">
        <v>38</v>
      </c>
      <c r="BF58" s="13">
        <f t="shared" si="43"/>
        <v>197</v>
      </c>
      <c r="BG58" s="13">
        <f t="shared" si="44"/>
        <v>829</v>
      </c>
      <c r="BH58" s="10">
        <f t="shared" si="45"/>
        <v>4.2081218274111674</v>
      </c>
      <c r="BI58" s="10"/>
      <c r="BM58">
        <v>6</v>
      </c>
      <c r="BN58">
        <v>320</v>
      </c>
      <c r="BO58" s="14">
        <f t="shared" si="46"/>
        <v>6</v>
      </c>
      <c r="BP58" s="14">
        <f t="shared" si="47"/>
        <v>320</v>
      </c>
      <c r="BR58">
        <f>1+2</f>
        <v>3</v>
      </c>
      <c r="BS58">
        <f>38+81</f>
        <v>119</v>
      </c>
      <c r="BT58">
        <v>10</v>
      </c>
      <c r="BU58">
        <v>137</v>
      </c>
      <c r="BX58" s="14">
        <f t="shared" si="48"/>
        <v>13</v>
      </c>
      <c r="BY58" s="14">
        <f t="shared" si="49"/>
        <v>256</v>
      </c>
      <c r="CC58">
        <f>2+4</f>
        <v>6</v>
      </c>
      <c r="CD58">
        <f>10+32</f>
        <v>42</v>
      </c>
      <c r="CE58" s="13">
        <f t="shared" si="50"/>
        <v>25</v>
      </c>
      <c r="CF58" s="13">
        <f t="shared" si="51"/>
        <v>618</v>
      </c>
      <c r="CG58" s="10">
        <f t="shared" si="52"/>
        <v>24.72</v>
      </c>
      <c r="CH58" s="10"/>
      <c r="CJ58">
        <v>2</v>
      </c>
      <c r="CK58">
        <v>30</v>
      </c>
      <c r="CL58">
        <v>20</v>
      </c>
      <c r="CM58">
        <v>89</v>
      </c>
      <c r="CN58" s="14">
        <f t="shared" si="53"/>
        <v>22</v>
      </c>
      <c r="CO58" s="14">
        <f t="shared" si="54"/>
        <v>119</v>
      </c>
      <c r="CP58" s="12"/>
      <c r="CT58">
        <v>157</v>
      </c>
      <c r="CU58">
        <v>2116</v>
      </c>
      <c r="CX58">
        <v>10</v>
      </c>
      <c r="CY58">
        <v>199</v>
      </c>
      <c r="DJ58">
        <v>4</v>
      </c>
      <c r="DK58">
        <v>111</v>
      </c>
      <c r="DV58" s="3">
        <f t="shared" si="55"/>
        <v>171</v>
      </c>
      <c r="DW58" s="3">
        <f t="shared" si="56"/>
        <v>2426</v>
      </c>
      <c r="DY58">
        <v>2</v>
      </c>
      <c r="DZ58">
        <v>236</v>
      </c>
      <c r="EG58">
        <v>34</v>
      </c>
      <c r="EH58">
        <v>622</v>
      </c>
      <c r="EK58" s="3">
        <f t="shared" si="57"/>
        <v>36</v>
      </c>
      <c r="EL58" s="3">
        <f t="shared" si="58"/>
        <v>858</v>
      </c>
      <c r="EM58" s="5">
        <f t="shared" si="59"/>
        <v>229</v>
      </c>
      <c r="EN58" s="5">
        <f t="shared" si="60"/>
        <v>3403</v>
      </c>
      <c r="EO58" s="10">
        <f t="shared" si="61"/>
        <v>14.860262008733624</v>
      </c>
      <c r="EU58">
        <v>1</v>
      </c>
      <c r="EV58">
        <v>12</v>
      </c>
      <c r="EY58" s="3">
        <f t="shared" si="62"/>
        <v>1</v>
      </c>
      <c r="EZ58" s="3">
        <f t="shared" si="63"/>
        <v>12</v>
      </c>
      <c r="FD58">
        <v>8</v>
      </c>
      <c r="FE58">
        <v>40</v>
      </c>
      <c r="FF58">
        <v>7</v>
      </c>
      <c r="FG58">
        <v>40</v>
      </c>
      <c r="FH58" s="3">
        <f t="shared" si="64"/>
        <v>15</v>
      </c>
      <c r="FI58" s="3">
        <f t="shared" si="65"/>
        <v>80</v>
      </c>
      <c r="FK58">
        <v>1</v>
      </c>
      <c r="FL58">
        <v>9</v>
      </c>
      <c r="FO58">
        <v>4</v>
      </c>
      <c r="FP58">
        <v>31</v>
      </c>
      <c r="FQ58" s="3">
        <f t="shared" si="66"/>
        <v>5</v>
      </c>
      <c r="FR58" s="3">
        <f t="shared" si="67"/>
        <v>40</v>
      </c>
      <c r="FX58">
        <v>10</v>
      </c>
      <c r="FY58">
        <v>52</v>
      </c>
      <c r="FZ58">
        <v>4</v>
      </c>
      <c r="GA58">
        <v>47</v>
      </c>
      <c r="GB58" s="3">
        <f t="shared" si="68"/>
        <v>14</v>
      </c>
      <c r="GC58" s="3">
        <f t="shared" si="69"/>
        <v>99</v>
      </c>
      <c r="GK58">
        <v>73</v>
      </c>
      <c r="GL58">
        <v>484</v>
      </c>
      <c r="GO58">
        <v>11</v>
      </c>
      <c r="GP58">
        <v>44</v>
      </c>
      <c r="GQ58">
        <v>8</v>
      </c>
      <c r="GR58">
        <v>55</v>
      </c>
      <c r="GS58" s="3">
        <f t="shared" si="70"/>
        <v>92</v>
      </c>
      <c r="GT58" s="3">
        <f t="shared" si="71"/>
        <v>583</v>
      </c>
      <c r="GU58" s="5">
        <f t="shared" si="72"/>
        <v>127</v>
      </c>
      <c r="GV58" s="5">
        <f t="shared" si="73"/>
        <v>814</v>
      </c>
      <c r="GW58" s="10">
        <f t="shared" si="74"/>
        <v>6.409448818897638</v>
      </c>
      <c r="HB58">
        <v>87</v>
      </c>
      <c r="HC58">
        <v>497</v>
      </c>
      <c r="HF58">
        <v>71</v>
      </c>
      <c r="HG58">
        <v>402</v>
      </c>
      <c r="HH58">
        <v>294</v>
      </c>
      <c r="HI58">
        <v>1453</v>
      </c>
      <c r="HJ58">
        <v>18</v>
      </c>
      <c r="HK58">
        <v>113</v>
      </c>
      <c r="HL58">
        <v>5</v>
      </c>
      <c r="HM58">
        <v>39</v>
      </c>
      <c r="HN58">
        <v>7</v>
      </c>
      <c r="HO58">
        <v>47</v>
      </c>
      <c r="HP58" s="3">
        <f t="shared" si="75"/>
        <v>482</v>
      </c>
      <c r="HQ58" s="3">
        <f t="shared" si="76"/>
        <v>2551</v>
      </c>
      <c r="HV58">
        <v>18</v>
      </c>
      <c r="HW58">
        <v>115</v>
      </c>
      <c r="HX58">
        <v>19</v>
      </c>
      <c r="HY58">
        <v>154</v>
      </c>
      <c r="HZ58">
        <v>6</v>
      </c>
      <c r="IA58">
        <v>35</v>
      </c>
      <c r="ID58" s="3">
        <f t="shared" si="77"/>
        <v>43</v>
      </c>
      <c r="IE58" s="3">
        <f t="shared" si="78"/>
        <v>304</v>
      </c>
      <c r="IF58" s="3"/>
      <c r="II58">
        <v>20</v>
      </c>
      <c r="IJ58">
        <v>110</v>
      </c>
      <c r="IK58" s="3">
        <f t="shared" si="79"/>
        <v>20</v>
      </c>
      <c r="IL58" s="3">
        <f t="shared" si="80"/>
        <v>110</v>
      </c>
      <c r="IT58">
        <v>120</v>
      </c>
      <c r="IU58">
        <v>504</v>
      </c>
      <c r="IV58">
        <v>31</v>
      </c>
      <c r="IW58">
        <v>220</v>
      </c>
      <c r="IX58">
        <v>10</v>
      </c>
      <c r="IY58">
        <v>73</v>
      </c>
      <c r="IZ58">
        <v>6</v>
      </c>
      <c r="JA58">
        <v>40</v>
      </c>
      <c r="JB58">
        <v>11</v>
      </c>
      <c r="JC58">
        <v>49</v>
      </c>
      <c r="JD58">
        <v>10</v>
      </c>
      <c r="JE58">
        <v>42</v>
      </c>
      <c r="JF58" s="3">
        <f t="shared" si="81"/>
        <v>188</v>
      </c>
      <c r="JG58" s="3">
        <f t="shared" si="82"/>
        <v>928</v>
      </c>
      <c r="JI58" s="5">
        <f t="shared" si="83"/>
        <v>733</v>
      </c>
      <c r="JJ58" s="5">
        <f t="shared" si="84"/>
        <v>3893</v>
      </c>
      <c r="JK58" s="10">
        <f t="shared" si="85"/>
        <v>5.3110504774897684</v>
      </c>
      <c r="JR58">
        <v>4</v>
      </c>
      <c r="JS58">
        <v>103</v>
      </c>
      <c r="JT58">
        <v>20</v>
      </c>
      <c r="JU58">
        <v>127</v>
      </c>
      <c r="JV58">
        <v>12</v>
      </c>
      <c r="JW58">
        <v>40</v>
      </c>
      <c r="JZ58">
        <v>5</v>
      </c>
      <c r="KA58">
        <v>44</v>
      </c>
      <c r="KB58">
        <v>4</v>
      </c>
      <c r="KC58">
        <v>38</v>
      </c>
      <c r="KF58" s="3">
        <f t="shared" si="86"/>
        <v>45</v>
      </c>
      <c r="KG58" s="3">
        <f t="shared" si="87"/>
        <v>352</v>
      </c>
      <c r="KJ58">
        <f>1+1</f>
        <v>2</v>
      </c>
      <c r="KK58">
        <f>11+4</f>
        <v>15</v>
      </c>
      <c r="KP58" s="3">
        <f t="shared" si="88"/>
        <v>2</v>
      </c>
      <c r="KQ58" s="3">
        <f t="shared" si="89"/>
        <v>15</v>
      </c>
      <c r="KS58" s="5">
        <f t="shared" si="90"/>
        <v>47</v>
      </c>
      <c r="KT58" s="5">
        <f t="shared" si="91"/>
        <v>367</v>
      </c>
      <c r="KU58" s="10">
        <f t="shared" si="92"/>
        <v>7.8085106382978724</v>
      </c>
      <c r="KW58" s="5">
        <f t="shared" si="93"/>
        <v>1483</v>
      </c>
      <c r="KX58" s="5">
        <f t="shared" si="94"/>
        <v>10821</v>
      </c>
      <c r="KY58" s="10">
        <f t="shared" si="95"/>
        <v>7.2966958867161162</v>
      </c>
      <c r="LA58" s="15" t="s">
        <v>355</v>
      </c>
      <c r="LB58">
        <v>241376</v>
      </c>
      <c r="LD58" s="11">
        <f t="shared" si="96"/>
        <v>6.1439414026249501</v>
      </c>
      <c r="LE58" s="11">
        <f t="shared" si="97"/>
        <v>44.830471960758317</v>
      </c>
      <c r="LF58" s="8"/>
    </row>
    <row r="59" spans="1:319" ht="15.75" x14ac:dyDescent="0.25">
      <c r="A59" s="22" t="s">
        <v>405</v>
      </c>
      <c r="B59" s="24" t="s">
        <v>356</v>
      </c>
      <c r="C59" s="1"/>
      <c r="D59" s="1"/>
      <c r="G59">
        <v>5</v>
      </c>
      <c r="H59">
        <v>60</v>
      </c>
      <c r="L59">
        <v>25</v>
      </c>
      <c r="M59">
        <v>225</v>
      </c>
      <c r="N59" s="3">
        <f t="shared" si="29"/>
        <v>25</v>
      </c>
      <c r="O59" s="3">
        <f t="shared" si="30"/>
        <v>225</v>
      </c>
      <c r="P59" s="5">
        <f t="shared" si="31"/>
        <v>30</v>
      </c>
      <c r="Q59" s="5">
        <f t="shared" si="32"/>
        <v>285</v>
      </c>
      <c r="R59" s="10">
        <f t="shared" si="33"/>
        <v>9.5</v>
      </c>
      <c r="U59">
        <f>4+4</f>
        <v>8</v>
      </c>
      <c r="V59">
        <f>40+32</f>
        <v>72</v>
      </c>
      <c r="W59">
        <v>40</v>
      </c>
      <c r="X59">
        <v>480</v>
      </c>
      <c r="Y59">
        <v>25</v>
      </c>
      <c r="Z59">
        <v>275</v>
      </c>
      <c r="AA59" s="3">
        <f t="shared" si="34"/>
        <v>73</v>
      </c>
      <c r="AB59" s="3">
        <f t="shared" si="35"/>
        <v>827</v>
      </c>
      <c r="AD59">
        <v>6</v>
      </c>
      <c r="AE59">
        <v>120</v>
      </c>
      <c r="AF59">
        <v>4</v>
      </c>
      <c r="AG59">
        <v>80</v>
      </c>
      <c r="AI59">
        <v>3</v>
      </c>
      <c r="AJ59">
        <v>21</v>
      </c>
      <c r="AK59">
        <v>10</v>
      </c>
      <c r="AL59">
        <v>120</v>
      </c>
      <c r="AM59" s="3">
        <f t="shared" si="36"/>
        <v>13</v>
      </c>
      <c r="AN59" s="3">
        <f t="shared" si="37"/>
        <v>141</v>
      </c>
      <c r="AP59" s="5">
        <f t="shared" si="38"/>
        <v>96</v>
      </c>
      <c r="AQ59" s="5">
        <f t="shared" si="39"/>
        <v>1168</v>
      </c>
      <c r="AR59" s="10">
        <f t="shared" si="40"/>
        <v>12.166666666666666</v>
      </c>
      <c r="AU59">
        <f>6+1</f>
        <v>7</v>
      </c>
      <c r="AV59">
        <f>84+6</f>
        <v>90</v>
      </c>
      <c r="AW59">
        <v>25</v>
      </c>
      <c r="AX59">
        <v>172</v>
      </c>
      <c r="AY59" s="3">
        <f t="shared" si="41"/>
        <v>32</v>
      </c>
      <c r="AZ59" s="3">
        <f t="shared" si="42"/>
        <v>262</v>
      </c>
      <c r="BD59">
        <v>300</v>
      </c>
      <c r="BE59">
        <v>472</v>
      </c>
      <c r="BF59" s="13">
        <f t="shared" si="43"/>
        <v>332</v>
      </c>
      <c r="BG59" s="13">
        <f t="shared" si="44"/>
        <v>734</v>
      </c>
      <c r="BH59" s="10">
        <f t="shared" si="45"/>
        <v>2.2108433734939759</v>
      </c>
      <c r="BI59" s="10"/>
      <c r="BM59">
        <v>8</v>
      </c>
      <c r="BN59">
        <v>270</v>
      </c>
      <c r="BO59" s="14">
        <f t="shared" si="46"/>
        <v>8</v>
      </c>
      <c r="BP59" s="14">
        <f t="shared" si="47"/>
        <v>270</v>
      </c>
      <c r="BR59">
        <v>1</v>
      </c>
      <c r="BS59">
        <v>11</v>
      </c>
      <c r="BT59">
        <v>8</v>
      </c>
      <c r="BU59">
        <v>96</v>
      </c>
      <c r="BX59" s="14">
        <f t="shared" si="48"/>
        <v>9</v>
      </c>
      <c r="BY59" s="14">
        <f t="shared" si="49"/>
        <v>107</v>
      </c>
      <c r="CE59" s="13">
        <f t="shared" si="50"/>
        <v>17</v>
      </c>
      <c r="CF59" s="13">
        <f t="shared" si="51"/>
        <v>377</v>
      </c>
      <c r="CG59" s="10">
        <f t="shared" si="52"/>
        <v>22.176470588235293</v>
      </c>
      <c r="CH59" s="10"/>
      <c r="CL59">
        <v>20</v>
      </c>
      <c r="CM59">
        <v>140</v>
      </c>
      <c r="CN59" s="14">
        <f t="shared" si="53"/>
        <v>20</v>
      </c>
      <c r="CO59" s="14">
        <f t="shared" si="54"/>
        <v>140</v>
      </c>
      <c r="CP59" s="12"/>
      <c r="CT59">
        <v>420</v>
      </c>
      <c r="CU59">
        <v>2940</v>
      </c>
      <c r="CX59">
        <f>20+9</f>
        <v>29</v>
      </c>
      <c r="CY59">
        <f>480+36</f>
        <v>516</v>
      </c>
      <c r="DJ59">
        <v>2</v>
      </c>
      <c r="DK59">
        <v>40</v>
      </c>
      <c r="DT59">
        <v>30</v>
      </c>
      <c r="DU59">
        <v>420</v>
      </c>
      <c r="DV59" s="3">
        <f t="shared" si="55"/>
        <v>481</v>
      </c>
      <c r="DW59" s="3">
        <f t="shared" si="56"/>
        <v>3916</v>
      </c>
      <c r="DY59">
        <v>4</v>
      </c>
      <c r="DZ59">
        <v>108</v>
      </c>
      <c r="EG59">
        <v>15</v>
      </c>
      <c r="EH59">
        <v>1500</v>
      </c>
      <c r="EK59" s="3">
        <f t="shared" si="57"/>
        <v>19</v>
      </c>
      <c r="EL59" s="3">
        <f t="shared" si="58"/>
        <v>1608</v>
      </c>
      <c r="EM59" s="5">
        <f t="shared" si="59"/>
        <v>520</v>
      </c>
      <c r="EN59" s="5">
        <f t="shared" si="60"/>
        <v>5664</v>
      </c>
      <c r="EO59" s="10">
        <f t="shared" si="61"/>
        <v>10.892307692307693</v>
      </c>
      <c r="EY59" s="3">
        <f t="shared" si="62"/>
        <v>0</v>
      </c>
      <c r="EZ59" s="3">
        <f t="shared" si="63"/>
        <v>0</v>
      </c>
      <c r="FB59">
        <v>12</v>
      </c>
      <c r="FC59">
        <v>132</v>
      </c>
      <c r="FD59">
        <v>4</v>
      </c>
      <c r="FE59">
        <v>40</v>
      </c>
      <c r="FH59" s="3">
        <f t="shared" si="64"/>
        <v>16</v>
      </c>
      <c r="FI59" s="3">
        <f t="shared" si="65"/>
        <v>172</v>
      </c>
      <c r="FM59">
        <v>40</v>
      </c>
      <c r="FN59">
        <v>360</v>
      </c>
      <c r="FQ59" s="3">
        <f t="shared" si="66"/>
        <v>40</v>
      </c>
      <c r="FR59" s="3">
        <f t="shared" si="67"/>
        <v>360</v>
      </c>
      <c r="GB59" s="3">
        <f t="shared" si="68"/>
        <v>0</v>
      </c>
      <c r="GC59" s="3">
        <f t="shared" si="69"/>
        <v>0</v>
      </c>
      <c r="GE59">
        <v>6</v>
      </c>
      <c r="GF59">
        <v>18</v>
      </c>
      <c r="GK59">
        <v>52</v>
      </c>
      <c r="GL59">
        <v>781</v>
      </c>
      <c r="GQ59">
        <v>2</v>
      </c>
      <c r="GR59">
        <v>16</v>
      </c>
      <c r="GS59" s="3">
        <f t="shared" si="70"/>
        <v>60</v>
      </c>
      <c r="GT59" s="3">
        <f t="shared" si="71"/>
        <v>815</v>
      </c>
      <c r="GU59" s="5">
        <f t="shared" si="72"/>
        <v>116</v>
      </c>
      <c r="GV59" s="5">
        <f t="shared" si="73"/>
        <v>1347</v>
      </c>
      <c r="GW59" s="10">
        <f t="shared" si="74"/>
        <v>11.612068965517242</v>
      </c>
      <c r="HB59">
        <v>40</v>
      </c>
      <c r="HC59">
        <v>420</v>
      </c>
      <c r="HD59">
        <v>50</v>
      </c>
      <c r="HE59">
        <v>450</v>
      </c>
      <c r="HF59">
        <v>120</v>
      </c>
      <c r="HG59">
        <v>1200</v>
      </c>
      <c r="HH59">
        <v>320</v>
      </c>
      <c r="HI59">
        <v>3200</v>
      </c>
      <c r="HJ59">
        <v>40</v>
      </c>
      <c r="HK59">
        <v>360</v>
      </c>
      <c r="HL59">
        <v>42</v>
      </c>
      <c r="HM59">
        <v>378</v>
      </c>
      <c r="HN59">
        <v>4</v>
      </c>
      <c r="HO59">
        <v>32</v>
      </c>
      <c r="HP59" s="3">
        <f t="shared" si="75"/>
        <v>616</v>
      </c>
      <c r="HQ59" s="3">
        <f t="shared" si="76"/>
        <v>6040</v>
      </c>
      <c r="HV59">
        <v>120</v>
      </c>
      <c r="HW59">
        <v>1260</v>
      </c>
      <c r="HX59">
        <v>50</v>
      </c>
      <c r="HY59">
        <v>550</v>
      </c>
      <c r="HZ59">
        <v>6</v>
      </c>
      <c r="IA59">
        <v>39</v>
      </c>
      <c r="ID59" s="3">
        <f t="shared" si="77"/>
        <v>176</v>
      </c>
      <c r="IE59" s="3">
        <f t="shared" si="78"/>
        <v>1849</v>
      </c>
      <c r="IF59" s="3"/>
      <c r="II59">
        <v>6</v>
      </c>
      <c r="IJ59">
        <v>60</v>
      </c>
      <c r="IK59" s="3">
        <f t="shared" si="79"/>
        <v>6</v>
      </c>
      <c r="IL59" s="3">
        <f t="shared" si="80"/>
        <v>60</v>
      </c>
      <c r="IR59">
        <v>260</v>
      </c>
      <c r="IS59">
        <v>780</v>
      </c>
      <c r="IT59">
        <v>12</v>
      </c>
      <c r="IU59">
        <v>240</v>
      </c>
      <c r="IV59">
        <v>50</v>
      </c>
      <c r="IW59">
        <v>700</v>
      </c>
      <c r="IX59">
        <v>30</v>
      </c>
      <c r="IY59">
        <v>300</v>
      </c>
      <c r="IZ59">
        <v>6</v>
      </c>
      <c r="JA59">
        <v>54</v>
      </c>
      <c r="JB59">
        <v>10</v>
      </c>
      <c r="JC59">
        <v>60</v>
      </c>
      <c r="JF59" s="3">
        <f t="shared" si="81"/>
        <v>368</v>
      </c>
      <c r="JG59" s="3">
        <f t="shared" si="82"/>
        <v>2134</v>
      </c>
      <c r="JI59" s="5">
        <f t="shared" si="83"/>
        <v>1166</v>
      </c>
      <c r="JJ59" s="5">
        <f t="shared" si="84"/>
        <v>10083</v>
      </c>
      <c r="JK59" s="10">
        <f t="shared" si="85"/>
        <v>8.6475128644939971</v>
      </c>
      <c r="JT59">
        <v>10</v>
      </c>
      <c r="JU59">
        <v>110</v>
      </c>
      <c r="JV59">
        <v>20</v>
      </c>
      <c r="JW59">
        <v>180</v>
      </c>
      <c r="KB59">
        <v>6</v>
      </c>
      <c r="KC59">
        <v>36</v>
      </c>
      <c r="KD59">
        <v>3</v>
      </c>
      <c r="KE59">
        <v>33</v>
      </c>
      <c r="KF59" s="3">
        <f t="shared" si="86"/>
        <v>39</v>
      </c>
      <c r="KG59" s="3">
        <f t="shared" si="87"/>
        <v>359</v>
      </c>
      <c r="KL59">
        <v>1</v>
      </c>
      <c r="KM59">
        <v>10</v>
      </c>
      <c r="KN59">
        <v>1</v>
      </c>
      <c r="KO59">
        <v>8</v>
      </c>
      <c r="KP59" s="3">
        <f t="shared" si="88"/>
        <v>2</v>
      </c>
      <c r="KQ59" s="3">
        <f t="shared" si="89"/>
        <v>18</v>
      </c>
      <c r="KS59" s="5">
        <f t="shared" si="90"/>
        <v>41</v>
      </c>
      <c r="KT59" s="5">
        <f t="shared" si="91"/>
        <v>377</v>
      </c>
      <c r="KU59" s="10">
        <f t="shared" si="92"/>
        <v>9.1951219512195124</v>
      </c>
      <c r="KW59" s="5">
        <f t="shared" si="93"/>
        <v>2318</v>
      </c>
      <c r="KX59" s="5">
        <f t="shared" si="94"/>
        <v>20035</v>
      </c>
      <c r="KY59" s="10">
        <f t="shared" si="95"/>
        <v>8.643226919758412</v>
      </c>
      <c r="LA59" s="15" t="s">
        <v>357</v>
      </c>
      <c r="LB59">
        <v>449359</v>
      </c>
      <c r="LD59" s="11">
        <f t="shared" si="96"/>
        <v>5.1584590494459883</v>
      </c>
      <c r="LE59" s="11">
        <f t="shared" si="97"/>
        <v>44.585732120642959</v>
      </c>
      <c r="LG59" s="10"/>
    </row>
    <row r="60" spans="1:319" ht="15.75" x14ac:dyDescent="0.25">
      <c r="A60" s="22" t="s">
        <v>374</v>
      </c>
      <c r="B60" s="24" t="s">
        <v>297</v>
      </c>
      <c r="C60" s="1"/>
      <c r="D60" s="1"/>
      <c r="E60">
        <f>SUM(E24:E49)</f>
        <v>131</v>
      </c>
      <c r="F60">
        <f>SUM(F24:F49)</f>
        <v>2752</v>
      </c>
      <c r="G60">
        <f>SUM(G24:G49)</f>
        <v>617</v>
      </c>
      <c r="H60">
        <f>SUM(H24:H49)</f>
        <v>5116</v>
      </c>
      <c r="J60">
        <f>SUM(J24:J49)</f>
        <v>16</v>
      </c>
      <c r="K60">
        <f>SUM(K24:K49)</f>
        <v>385</v>
      </c>
      <c r="L60">
        <f>SUM(L24:L49)</f>
        <v>4378</v>
      </c>
      <c r="M60">
        <f>SUM(M24:M49)</f>
        <v>15850</v>
      </c>
      <c r="N60" s="3">
        <f t="shared" si="29"/>
        <v>4394</v>
      </c>
      <c r="O60" s="3">
        <f t="shared" si="30"/>
        <v>16235</v>
      </c>
      <c r="P60" s="5">
        <f t="shared" si="31"/>
        <v>5142</v>
      </c>
      <c r="Q60" s="5">
        <f t="shared" si="32"/>
        <v>24103</v>
      </c>
      <c r="R60" s="10">
        <f t="shared" si="33"/>
        <v>4.6874756903928434</v>
      </c>
      <c r="U60">
        <f>SUM(U24:U49)</f>
        <v>763</v>
      </c>
      <c r="V60">
        <f>SUM(V24:V49)</f>
        <v>17113</v>
      </c>
      <c r="W60">
        <f>SUM(W24:W49)</f>
        <v>9489</v>
      </c>
      <c r="X60">
        <f>SUM(X24:X49)</f>
        <v>37309</v>
      </c>
      <c r="Y60">
        <f>SUM(Y24:Y49)</f>
        <v>2063</v>
      </c>
      <c r="Z60">
        <f>SUM(Z24:Z49)</f>
        <v>13436</v>
      </c>
      <c r="AA60" s="3">
        <f t="shared" si="34"/>
        <v>12315</v>
      </c>
      <c r="AB60" s="3">
        <f t="shared" si="35"/>
        <v>67858</v>
      </c>
      <c r="AD60">
        <f>SUM(AD24:AD49)</f>
        <v>365</v>
      </c>
      <c r="AE60">
        <f>SUM(AE24:AE49)</f>
        <v>4888</v>
      </c>
      <c r="AF60">
        <f>SUM(AF24:AF49)</f>
        <v>384</v>
      </c>
      <c r="AG60">
        <f>SUM(AG24:AG49)</f>
        <v>5832</v>
      </c>
      <c r="AI60">
        <f>SUM(AI24:AI49)</f>
        <v>250</v>
      </c>
      <c r="AJ60">
        <f>SUM(AJ24:AJ49)</f>
        <v>2780</v>
      </c>
      <c r="AK60">
        <f>SUM(AK24:AK49)</f>
        <v>594</v>
      </c>
      <c r="AL60">
        <f>SUM(AL24:AL49)</f>
        <v>5027</v>
      </c>
      <c r="AM60" s="3">
        <f t="shared" si="36"/>
        <v>844</v>
      </c>
      <c r="AN60" s="3">
        <f t="shared" si="37"/>
        <v>7807</v>
      </c>
      <c r="AP60" s="5">
        <f t="shared" si="38"/>
        <v>13908</v>
      </c>
      <c r="AQ60" s="5">
        <f t="shared" si="39"/>
        <v>86385</v>
      </c>
      <c r="AR60" s="10">
        <f t="shared" si="40"/>
        <v>6.2111734253666953</v>
      </c>
      <c r="AU60">
        <f>SUM(AU24:AU49)</f>
        <v>285</v>
      </c>
      <c r="AV60">
        <f>SUM(AV24:AV49)</f>
        <v>5802</v>
      </c>
      <c r="AW60">
        <f>SUM(AW24:AW49)</f>
        <v>2359</v>
      </c>
      <c r="AX60">
        <f>SUM(AX24:AX49)</f>
        <v>10376</v>
      </c>
      <c r="AY60" s="3">
        <f t="shared" si="41"/>
        <v>2644</v>
      </c>
      <c r="AZ60" s="3">
        <f t="shared" si="42"/>
        <v>16178</v>
      </c>
      <c r="BB60" s="19">
        <f>SUM(BB24:BB49)</f>
        <v>39</v>
      </c>
      <c r="BC60" s="19">
        <f>SUM(BC24:BC49)</f>
        <v>1808</v>
      </c>
      <c r="BD60">
        <f>SUM(BD24:BD49)</f>
        <v>358</v>
      </c>
      <c r="BE60">
        <f>SUM(BE24:BE49)</f>
        <v>4348</v>
      </c>
      <c r="BF60" s="13">
        <f t="shared" si="43"/>
        <v>3041</v>
      </c>
      <c r="BG60" s="13">
        <f t="shared" si="44"/>
        <v>22334</v>
      </c>
      <c r="BH60" s="10">
        <f t="shared" si="45"/>
        <v>7.3442946399210784</v>
      </c>
      <c r="BI60" s="10"/>
      <c r="BK60">
        <f>SUM(BK24:BK49)</f>
        <v>78</v>
      </c>
      <c r="BL60">
        <f>SUM(BL24:BL49)</f>
        <v>1035</v>
      </c>
      <c r="BM60">
        <f>SUM(BM24:BM49)</f>
        <v>544</v>
      </c>
      <c r="BN60">
        <f>SUM(BN24:BN49)</f>
        <v>15734</v>
      </c>
      <c r="BO60" s="14">
        <f t="shared" si="46"/>
        <v>622</v>
      </c>
      <c r="BP60" s="14">
        <f t="shared" si="47"/>
        <v>16769</v>
      </c>
      <c r="BR60">
        <f>SUM(BR24:BR49)</f>
        <v>452</v>
      </c>
      <c r="BS60">
        <f>SUM(BS24:BS49)</f>
        <v>5493</v>
      </c>
      <c r="BT60">
        <f>SUM(BT24:BT49)</f>
        <v>793</v>
      </c>
      <c r="BU60">
        <f>SUM(BU24:BU49)</f>
        <v>9784</v>
      </c>
      <c r="BV60">
        <f>SUM(BV24:BV49)</f>
        <v>2</v>
      </c>
      <c r="BW60">
        <f>SUM(BW24:BW49)</f>
        <v>2003</v>
      </c>
      <c r="BX60" s="14">
        <f t="shared" si="48"/>
        <v>1247</v>
      </c>
      <c r="BY60" s="14">
        <f t="shared" si="49"/>
        <v>17280</v>
      </c>
      <c r="CA60">
        <f>SUM(CA24:CA49)</f>
        <v>8</v>
      </c>
      <c r="CB60">
        <f>SUM(CB24:CB49)</f>
        <v>134</v>
      </c>
      <c r="CC60">
        <f>SUM(CC24:CC49)</f>
        <v>144</v>
      </c>
      <c r="CD60">
        <f>SUM(CD24:CD49)</f>
        <v>2867</v>
      </c>
      <c r="CE60" s="13">
        <f t="shared" si="50"/>
        <v>2021</v>
      </c>
      <c r="CF60" s="13">
        <f t="shared" si="51"/>
        <v>37050</v>
      </c>
      <c r="CG60" s="10">
        <f t="shared" si="52"/>
        <v>18.332508659079664</v>
      </c>
      <c r="CH60" s="10"/>
      <c r="CJ60">
        <f>SUM(CJ24:CJ49)</f>
        <v>153</v>
      </c>
      <c r="CK60">
        <f>SUM(CK24:CK49)</f>
        <v>966</v>
      </c>
      <c r="CL60">
        <f>SUM(CL24:CL49)</f>
        <v>836</v>
      </c>
      <c r="CM60">
        <f>SUM(CM24:CM49)</f>
        <v>10037</v>
      </c>
      <c r="CN60" s="3">
        <f>SUM(CN24:CN49)</f>
        <v>989</v>
      </c>
      <c r="CO60" s="3">
        <f>SUM(CO24:CO49)</f>
        <v>11003</v>
      </c>
      <c r="CR60">
        <f>SUM(CR24:CR49)</f>
        <v>2</v>
      </c>
      <c r="CS60">
        <f>SUM(CS24:CS49)</f>
        <v>24</v>
      </c>
      <c r="CT60">
        <f>SUM(CT24:CT49)</f>
        <v>15785</v>
      </c>
      <c r="CU60">
        <f>SUM(CU24:CU49)</f>
        <v>162416</v>
      </c>
      <c r="CV60">
        <f>SUM(CV24:CV49)</f>
        <v>26</v>
      </c>
      <c r="CW60">
        <f>SUM(CW24:CW49)</f>
        <v>20560</v>
      </c>
      <c r="CX60">
        <f>SUM(CX24:CX49)</f>
        <v>2522</v>
      </c>
      <c r="CY60">
        <f>SUM(CY24:CY49)</f>
        <v>24219</v>
      </c>
      <c r="CZ60">
        <f>SUM(CZ24:CZ49)</f>
        <v>4</v>
      </c>
      <c r="DA60">
        <f>SUM(DA24:DA49)</f>
        <v>47</v>
      </c>
      <c r="DB60">
        <f>SUM(DB24:DB49)</f>
        <v>19</v>
      </c>
      <c r="DC60">
        <f>SUM(DC24:DC49)</f>
        <v>19163</v>
      </c>
      <c r="DD60">
        <f>SUM(DD24:DD49)</f>
        <v>1</v>
      </c>
      <c r="DE60">
        <f>SUM(DE24:DE49)</f>
        <v>9</v>
      </c>
      <c r="DF60">
        <f>SUM(DF24:DF49)</f>
        <v>1</v>
      </c>
      <c r="DG60">
        <f>SUM(DG24:DG49)</f>
        <v>10</v>
      </c>
      <c r="DH60">
        <f>SUM(DH24:DH49)</f>
        <v>7</v>
      </c>
      <c r="DI60">
        <f>SUM(DI24:DI49)</f>
        <v>103</v>
      </c>
      <c r="DJ60">
        <f>SUM(DJ24:DJ49)</f>
        <v>234</v>
      </c>
      <c r="DK60">
        <f>SUM(DK24:DK49)</f>
        <v>3601</v>
      </c>
      <c r="DL60">
        <f>SUM(DL24:DL49)</f>
        <v>1</v>
      </c>
      <c r="DM60">
        <f>SUM(DM24:DM49)</f>
        <v>7</v>
      </c>
      <c r="DN60">
        <f>SUM(DN24:DN49)</f>
        <v>17</v>
      </c>
      <c r="DO60">
        <f>SUM(DO24:DO49)</f>
        <v>199</v>
      </c>
      <c r="DP60">
        <f>SUM(DP24:DP49)</f>
        <v>1</v>
      </c>
      <c r="DQ60">
        <f>SUM(DQ24:DQ49)</f>
        <v>9</v>
      </c>
      <c r="DR60">
        <f>SUM(DR24:DR49)</f>
        <v>2</v>
      </c>
      <c r="DS60">
        <f>SUM(DS24:DS49)</f>
        <v>55</v>
      </c>
      <c r="DT60">
        <f>SUM(DT24:DT49)</f>
        <v>531</v>
      </c>
      <c r="DU60">
        <f>SUM(DU24:DU49)</f>
        <v>4405</v>
      </c>
      <c r="DV60" s="3">
        <f t="shared" si="55"/>
        <v>19153</v>
      </c>
      <c r="DW60" s="3">
        <f t="shared" si="56"/>
        <v>234827</v>
      </c>
      <c r="DY60">
        <f>SUM(DY24:DY49)</f>
        <v>241</v>
      </c>
      <c r="DZ60">
        <f>SUM(DZ24:DZ49)</f>
        <v>13399</v>
      </c>
      <c r="EA60">
        <f>SUM(EA24:EA49)</f>
        <v>8</v>
      </c>
      <c r="EB60">
        <f>SUM(EB24:EB49)</f>
        <v>158</v>
      </c>
      <c r="EC60">
        <f>SUM(EC24:EC49)</f>
        <v>6</v>
      </c>
      <c r="ED60">
        <f>SUM(ED24:ED49)</f>
        <v>79</v>
      </c>
      <c r="EE60">
        <f>SUM(EE24:EE49)</f>
        <v>21</v>
      </c>
      <c r="EF60">
        <f>SUM(EF24:EF49)</f>
        <v>3157</v>
      </c>
      <c r="EG60">
        <f>SUM(EG24:EG49)</f>
        <v>1196</v>
      </c>
      <c r="EH60">
        <f>SUM(EH24:EH49)</f>
        <v>17539</v>
      </c>
      <c r="EI60">
        <f>SUM(EI24:EI49)</f>
        <v>141</v>
      </c>
      <c r="EJ60">
        <f>SUM(EJ24:EJ49)</f>
        <v>1767</v>
      </c>
      <c r="EK60" s="3">
        <f>SUM(EK24:EK49)</f>
        <v>1613</v>
      </c>
      <c r="EL60" s="3">
        <f>SUM(EL24:EL49)</f>
        <v>36099</v>
      </c>
      <c r="EM60" s="5">
        <f t="shared" si="59"/>
        <v>21755</v>
      </c>
      <c r="EN60" s="5">
        <f t="shared" si="60"/>
        <v>281929</v>
      </c>
      <c r="EO60" s="10">
        <f t="shared" si="61"/>
        <v>12.959273730176971</v>
      </c>
      <c r="ER60">
        <f>SUM(ER24:ER49)</f>
        <v>9</v>
      </c>
      <c r="ES60">
        <f>SUM(ES24:ES49)</f>
        <v>165</v>
      </c>
      <c r="EU60">
        <f>SUM(EU24:EU49)</f>
        <v>95</v>
      </c>
      <c r="EV60">
        <f>SUM(EV24:EV49)</f>
        <v>592</v>
      </c>
      <c r="EW60">
        <f>SUM(EW24:EW49)</f>
        <v>622</v>
      </c>
      <c r="EX60">
        <f>SUM(EX24:EX49)</f>
        <v>3344</v>
      </c>
      <c r="EY60" s="3">
        <f t="shared" si="62"/>
        <v>717</v>
      </c>
      <c r="EZ60" s="3">
        <f t="shared" si="63"/>
        <v>3936</v>
      </c>
      <c r="FB60">
        <f>SUM(FB24:FB49)</f>
        <v>105</v>
      </c>
      <c r="FC60">
        <f>SUM(FC24:FC49)</f>
        <v>1529</v>
      </c>
      <c r="FD60">
        <f>SUM(FD24:FD49)</f>
        <v>1164</v>
      </c>
      <c r="FE60">
        <f>SUM(FE24:FE49)</f>
        <v>6275</v>
      </c>
      <c r="FF60">
        <f>SUM(FF24:FF49)</f>
        <v>5860</v>
      </c>
      <c r="FG60">
        <f>SUM(FG24:FG49)</f>
        <v>11481</v>
      </c>
      <c r="FH60" s="3">
        <f t="shared" si="64"/>
        <v>7129</v>
      </c>
      <c r="FI60" s="3">
        <f t="shared" si="65"/>
        <v>19285</v>
      </c>
      <c r="FK60">
        <f>SUM(FK24:FK49)</f>
        <v>99</v>
      </c>
      <c r="FL60">
        <f>SUM(FL24:FL49)</f>
        <v>1098</v>
      </c>
      <c r="FM60">
        <f>SUM(FM24:FM49)</f>
        <v>0</v>
      </c>
      <c r="FN60">
        <f>SUM(FN24:FN49)</f>
        <v>0</v>
      </c>
      <c r="FO60">
        <f>SUM(FO24:FO49)</f>
        <v>605</v>
      </c>
      <c r="FP60">
        <f>SUM(FP24:FP49)</f>
        <v>4933</v>
      </c>
      <c r="FQ60" s="3">
        <f t="shared" si="66"/>
        <v>704</v>
      </c>
      <c r="FR60" s="3">
        <f t="shared" si="67"/>
        <v>6031</v>
      </c>
      <c r="FT60">
        <f>SUM(FT24:FT49)</f>
        <v>121</v>
      </c>
      <c r="FU60">
        <f>SUM(FU24:FU49)</f>
        <v>912</v>
      </c>
      <c r="FV60">
        <f>SUM(FV24:FV49)</f>
        <v>217</v>
      </c>
      <c r="FW60">
        <f>SUM(FW24:FW49)</f>
        <v>782</v>
      </c>
      <c r="FX60">
        <f>SUM(FX24:FX49)</f>
        <v>426</v>
      </c>
      <c r="FY60">
        <f>SUM(FY24:FY49)</f>
        <v>2620</v>
      </c>
      <c r="FZ60">
        <f>SUM(FZ24:FZ49)</f>
        <v>200</v>
      </c>
      <c r="GA60">
        <f>SUM(GA24:GA49)</f>
        <v>1857</v>
      </c>
      <c r="GB60" s="3">
        <f t="shared" si="68"/>
        <v>964</v>
      </c>
      <c r="GC60" s="3">
        <f t="shared" si="69"/>
        <v>6171</v>
      </c>
      <c r="GE60">
        <f>SUM(GE24:GE49)</f>
        <v>990</v>
      </c>
      <c r="GF60">
        <f>SUM(GF24:GF49)</f>
        <v>3386</v>
      </c>
      <c r="GG60">
        <f>SUM(GG24:GG49)</f>
        <v>55</v>
      </c>
      <c r="GH60">
        <f>SUM(GH24:GH49)</f>
        <v>371</v>
      </c>
      <c r="GI60">
        <f>SUM(GI24:GI49)</f>
        <v>719</v>
      </c>
      <c r="GJ60">
        <f>SUM(GJ24:GJ49)</f>
        <v>1018</v>
      </c>
      <c r="GK60">
        <f>SUM(GK24:GK49)</f>
        <v>11748</v>
      </c>
      <c r="GL60">
        <f>SUM(GL24:GL49)</f>
        <v>54759</v>
      </c>
      <c r="GM60">
        <f>SUM(GM24:GM49)</f>
        <v>1061</v>
      </c>
      <c r="GN60">
        <f>SUM(GN24:GN49)</f>
        <v>4432</v>
      </c>
      <c r="GO60">
        <f>SUM(GO24:GO49)</f>
        <v>410</v>
      </c>
      <c r="GP60">
        <f>SUM(GP24:GP49)</f>
        <v>3350</v>
      </c>
      <c r="GQ60">
        <f>SUM(GQ24:GQ49)</f>
        <v>221</v>
      </c>
      <c r="GR60">
        <f>SUM(GR24:GR49)</f>
        <v>1109</v>
      </c>
      <c r="GS60" s="3">
        <f>SUM(GS24:GS49)</f>
        <v>15204</v>
      </c>
      <c r="GT60" s="3">
        <f>SUM(GT24:GT49)</f>
        <v>68425</v>
      </c>
      <c r="GU60" s="5">
        <f t="shared" si="72"/>
        <v>24727</v>
      </c>
      <c r="GV60" s="5">
        <f t="shared" si="73"/>
        <v>104013</v>
      </c>
      <c r="GW60" s="10">
        <f t="shared" si="74"/>
        <v>4.2064544829538564</v>
      </c>
      <c r="GZ60">
        <f>SUM(GZ24:GZ49)</f>
        <v>176</v>
      </c>
      <c r="HA60">
        <f>SUM(HA24:HA49)</f>
        <v>2633</v>
      </c>
      <c r="HB60">
        <f>SUM(HB24:HB49)</f>
        <v>2106</v>
      </c>
      <c r="HC60">
        <f>SUM(HC24:HC49)</f>
        <v>17914</v>
      </c>
      <c r="HD60">
        <f>SUM(HD24:HD49)</f>
        <v>515</v>
      </c>
      <c r="HE60">
        <f>SUM(HE24:HE49)</f>
        <v>2782</v>
      </c>
      <c r="HF60">
        <f>SUM(HF24:HF49)</f>
        <v>9186</v>
      </c>
      <c r="HG60">
        <f>SUM(HG24:HG49)</f>
        <v>39946</v>
      </c>
      <c r="HH60">
        <f>SUM(HH24:HH49)</f>
        <v>12093</v>
      </c>
      <c r="HI60">
        <f>SUM(HI24:HI49)</f>
        <v>53795</v>
      </c>
      <c r="HJ60">
        <f>SUM(HJ24:HJ49)</f>
        <v>918</v>
      </c>
      <c r="HK60">
        <f>SUM(HK24:HK49)</f>
        <v>5631</v>
      </c>
      <c r="HL60">
        <f>SUM(HL24:HL49)</f>
        <v>634</v>
      </c>
      <c r="HM60">
        <f>SUM(HM24:HM49)</f>
        <v>3701</v>
      </c>
      <c r="HN60">
        <f>SUM(HN24:HN49)</f>
        <v>128</v>
      </c>
      <c r="HO60">
        <f>SUM(HO24:HO49)</f>
        <v>1760</v>
      </c>
      <c r="HP60" s="3">
        <f t="shared" si="75"/>
        <v>25756</v>
      </c>
      <c r="HQ60" s="3">
        <f t="shared" si="76"/>
        <v>128162</v>
      </c>
      <c r="HT60">
        <f>SUM(HT24:HT49)</f>
        <v>21</v>
      </c>
      <c r="HU60">
        <f>SUM(HU24:HU49)</f>
        <v>154</v>
      </c>
      <c r="HV60">
        <f>SUM(HV24:HV49)</f>
        <v>3545</v>
      </c>
      <c r="HW60">
        <f>SUM(HW24:HW49)</f>
        <v>17201</v>
      </c>
      <c r="HX60">
        <f>SUM(HX24:HX49)</f>
        <v>1378</v>
      </c>
      <c r="HY60">
        <f>SUM(HY24:HY49)</f>
        <v>10908</v>
      </c>
      <c r="HZ60">
        <f>SUM(HZ24:HZ49)</f>
        <v>150</v>
      </c>
      <c r="IA60">
        <f>SUM(IA24:IA49)</f>
        <v>1462</v>
      </c>
      <c r="IB60">
        <f>SUM(IB24:IB49)</f>
        <v>88</v>
      </c>
      <c r="IC60">
        <f>SUM(IC24:IC49)</f>
        <v>857</v>
      </c>
      <c r="ID60" s="3">
        <f t="shared" si="77"/>
        <v>5182</v>
      </c>
      <c r="IE60" s="3">
        <f t="shared" si="78"/>
        <v>30582</v>
      </c>
      <c r="IF60" s="3"/>
      <c r="IG60">
        <f>SUM(IG24:IG49)</f>
        <v>78</v>
      </c>
      <c r="IH60">
        <f>SUM(IH24:IH49)</f>
        <v>2314</v>
      </c>
      <c r="II60">
        <f>SUM(II24:II49)</f>
        <v>397</v>
      </c>
      <c r="IJ60">
        <f>SUM(IJ24:IJ49)</f>
        <v>3974</v>
      </c>
      <c r="IK60" s="3">
        <f t="shared" si="79"/>
        <v>475</v>
      </c>
      <c r="IL60" s="3">
        <f t="shared" si="80"/>
        <v>6288</v>
      </c>
      <c r="IN60">
        <f>SUM(IN24:IN49)</f>
        <v>61</v>
      </c>
      <c r="IO60">
        <f>SUM(IO24:IO49)</f>
        <v>327</v>
      </c>
      <c r="IR60">
        <f>SUM(IR24:IR49)</f>
        <v>250</v>
      </c>
      <c r="IS60">
        <f>SUM(IS24:IS49)</f>
        <v>1757</v>
      </c>
      <c r="IT60">
        <f>SUM(IT24:IT49)</f>
        <v>226</v>
      </c>
      <c r="IU60">
        <f>SUM(IU24:IU49)</f>
        <v>3456</v>
      </c>
      <c r="IV60">
        <f>SUM(IV24:IV49)</f>
        <v>6544</v>
      </c>
      <c r="IW60">
        <f>SUM(IW24:IW49)</f>
        <v>31021</v>
      </c>
      <c r="IX60">
        <f>SUM(IX24:IX49)</f>
        <v>2823</v>
      </c>
      <c r="IY60">
        <f>SUM(IY24:IY49)</f>
        <v>16762</v>
      </c>
      <c r="IZ60">
        <f>SUM(IZ24:IZ49)</f>
        <v>653</v>
      </c>
      <c r="JA60">
        <f>SUM(JA24:JA49)</f>
        <v>2992</v>
      </c>
      <c r="JB60">
        <f>SUM(JB24:JB49)</f>
        <v>375</v>
      </c>
      <c r="JC60">
        <f>SUM(JC24:JC49)</f>
        <v>1835</v>
      </c>
      <c r="JD60">
        <f>SUM(JD24:JD49)</f>
        <v>103</v>
      </c>
      <c r="JE60">
        <f>SUM(JE24:JE49)</f>
        <v>529</v>
      </c>
      <c r="JF60" s="3">
        <f t="shared" si="81"/>
        <v>10974</v>
      </c>
      <c r="JG60" s="3">
        <f t="shared" si="82"/>
        <v>58352</v>
      </c>
      <c r="JI60" s="5">
        <f t="shared" si="83"/>
        <v>42448</v>
      </c>
      <c r="JJ60" s="5">
        <f t="shared" si="84"/>
        <v>223711</v>
      </c>
      <c r="JK60" s="10">
        <f t="shared" si="85"/>
        <v>5.2702365246890315</v>
      </c>
      <c r="JM60">
        <f>SUM(JM24:JM49)</f>
        <v>0</v>
      </c>
      <c r="JN60">
        <f>SUM(JN24:JN49)</f>
        <v>66</v>
      </c>
      <c r="JO60">
        <f>SUM(JO24:JO49)</f>
        <v>444</v>
      </c>
      <c r="JP60">
        <f>SUM(JP24:JP49)</f>
        <v>21</v>
      </c>
      <c r="JQ60">
        <f>SUM(JQ24:JQ49)</f>
        <v>441</v>
      </c>
      <c r="JR60">
        <f>SUM(JR24:JR49)</f>
        <v>197</v>
      </c>
      <c r="JS60">
        <f>SUM(JS24:JS49)</f>
        <v>6231</v>
      </c>
      <c r="JT60">
        <f>SUM(JT24:JT49)</f>
        <v>1681</v>
      </c>
      <c r="JU60">
        <f>SUM(JU24:JU49)</f>
        <v>8130</v>
      </c>
      <c r="JV60">
        <f>SUM(JV24:JV49)</f>
        <v>1492</v>
      </c>
      <c r="JW60">
        <f>SUM(JW24:JW49)</f>
        <v>11215</v>
      </c>
      <c r="JX60">
        <f>SUM(JX24:JX49)</f>
        <v>176</v>
      </c>
      <c r="JY60">
        <f>SUM(JY24:JY49)</f>
        <v>1278</v>
      </c>
      <c r="JZ60">
        <f>SUM(JZ24:JZ49)</f>
        <v>41</v>
      </c>
      <c r="KA60">
        <f>SUM(KA24:KA49)</f>
        <v>342</v>
      </c>
      <c r="KB60">
        <f>SUM(KB24:KB49)</f>
        <v>367</v>
      </c>
      <c r="KC60">
        <f>SUM(KC24:KC49)</f>
        <v>2445</v>
      </c>
      <c r="KD60">
        <f>SUM(KD24:KD49)</f>
        <v>113</v>
      </c>
      <c r="KE60">
        <f>SUM(KE24:KE49)</f>
        <v>1079</v>
      </c>
      <c r="KF60" s="3">
        <f t="shared" si="86"/>
        <v>4154</v>
      </c>
      <c r="KG60" s="3">
        <f t="shared" si="87"/>
        <v>31605</v>
      </c>
      <c r="KJ60">
        <f>SUM(KJ24:KJ49)</f>
        <v>214</v>
      </c>
      <c r="KK60">
        <f>SUM(KK24:KK49)</f>
        <v>2037</v>
      </c>
      <c r="KL60">
        <f>SUM(KL24:KL49)</f>
        <v>89</v>
      </c>
      <c r="KM60">
        <f>SUM(KM24:KM49)</f>
        <v>3852</v>
      </c>
      <c r="KN60">
        <f>SUM(KN24:KN49)</f>
        <v>43</v>
      </c>
      <c r="KO60">
        <f>SUM(KO24:KO49)</f>
        <v>370</v>
      </c>
      <c r="KP60" s="3">
        <f t="shared" si="88"/>
        <v>346</v>
      </c>
      <c r="KQ60" s="3">
        <f t="shared" si="89"/>
        <v>6259</v>
      </c>
      <c r="KS60" s="5">
        <f t="shared" si="90"/>
        <v>4500</v>
      </c>
      <c r="KT60" s="5">
        <f t="shared" si="91"/>
        <v>37864</v>
      </c>
      <c r="KU60" s="10">
        <f t="shared" si="92"/>
        <v>8.4142222222222216</v>
      </c>
      <c r="KW60" s="5">
        <f t="shared" si="93"/>
        <v>117542</v>
      </c>
      <c r="KX60" s="5">
        <f t="shared" si="94"/>
        <v>817389</v>
      </c>
      <c r="KY60" s="10">
        <f t="shared" si="95"/>
        <v>6.9540164366779535</v>
      </c>
      <c r="LA60" s="15" t="s">
        <v>297</v>
      </c>
      <c r="LB60">
        <f>SUM(LB24:LB49)</f>
        <v>9926838</v>
      </c>
      <c r="LD60" s="11">
        <f t="shared" si="96"/>
        <v>11.840829879564874</v>
      </c>
      <c r="LE60" s="11">
        <f t="shared" si="97"/>
        <v>82.341325606401554</v>
      </c>
    </row>
    <row r="61" spans="1:319" ht="15.75" x14ac:dyDescent="0.25">
      <c r="A61" s="22" t="s">
        <v>375</v>
      </c>
      <c r="B61" s="24" t="s">
        <v>298</v>
      </c>
      <c r="C61" s="1"/>
      <c r="D61" s="1"/>
      <c r="E61">
        <f>SUM(E50:E53)</f>
        <v>16</v>
      </c>
      <c r="F61">
        <f>SUM(F50:F53)</f>
        <v>66</v>
      </c>
      <c r="G61">
        <f>SUM(G50:G53)</f>
        <v>45</v>
      </c>
      <c r="H61">
        <f>SUM(H50:H53)</f>
        <v>302</v>
      </c>
      <c r="J61">
        <f>SUM(J50:J53)</f>
        <v>7</v>
      </c>
      <c r="K61">
        <f>SUM(K50:K53)</f>
        <v>121</v>
      </c>
      <c r="L61">
        <f>SUM(L50:L53)</f>
        <v>367</v>
      </c>
      <c r="M61">
        <f>SUM(M50:M53)</f>
        <v>902</v>
      </c>
      <c r="N61" s="3">
        <f t="shared" si="29"/>
        <v>374</v>
      </c>
      <c r="O61" s="3">
        <f t="shared" si="30"/>
        <v>1023</v>
      </c>
      <c r="P61" s="5">
        <f t="shared" si="31"/>
        <v>435</v>
      </c>
      <c r="Q61" s="5">
        <f t="shared" si="32"/>
        <v>1391</v>
      </c>
      <c r="R61" s="10">
        <f t="shared" si="33"/>
        <v>3.1977011494252872</v>
      </c>
      <c r="U61">
        <f t="shared" ref="U61:Z61" si="98">SUM(U50:U53)</f>
        <v>60</v>
      </c>
      <c r="V61">
        <f t="shared" si="98"/>
        <v>273</v>
      </c>
      <c r="W61">
        <f t="shared" si="98"/>
        <v>875</v>
      </c>
      <c r="X61">
        <f t="shared" si="98"/>
        <v>2325</v>
      </c>
      <c r="Y61">
        <f t="shared" si="98"/>
        <v>152</v>
      </c>
      <c r="Z61">
        <f t="shared" si="98"/>
        <v>770</v>
      </c>
      <c r="AA61" s="3">
        <f t="shared" si="34"/>
        <v>1087</v>
      </c>
      <c r="AB61" s="3">
        <f t="shared" si="35"/>
        <v>3368</v>
      </c>
      <c r="AD61" s="19">
        <f>SUM(AD50:AD53)</f>
        <v>38</v>
      </c>
      <c r="AE61" s="19">
        <f>SUM(AE50:AE53)</f>
        <v>262</v>
      </c>
      <c r="AF61">
        <f>SUM(AF50:AF53)</f>
        <v>28</v>
      </c>
      <c r="AG61">
        <f>SUM(AG50:AG53)</f>
        <v>315</v>
      </c>
      <c r="AI61">
        <f>SUM(AI50:AI53)</f>
        <v>17</v>
      </c>
      <c r="AJ61">
        <f>SUM(AJ50:AJ53)</f>
        <v>72</v>
      </c>
      <c r="AK61">
        <f>SUM(AK50:AK53)</f>
        <v>44</v>
      </c>
      <c r="AL61">
        <f>SUM(AL50:AL53)</f>
        <v>280</v>
      </c>
      <c r="AM61" s="3">
        <f t="shared" si="36"/>
        <v>61</v>
      </c>
      <c r="AN61" s="3">
        <f t="shared" si="37"/>
        <v>352</v>
      </c>
      <c r="AP61" s="5">
        <f t="shared" si="38"/>
        <v>1214</v>
      </c>
      <c r="AQ61" s="5">
        <f t="shared" si="39"/>
        <v>4297</v>
      </c>
      <c r="AR61" s="10">
        <f t="shared" si="40"/>
        <v>3.539538714991763</v>
      </c>
      <c r="AU61">
        <f>SUM(AU50:AU53)</f>
        <v>14</v>
      </c>
      <c r="AV61">
        <f>SUM(AV50:AV53)</f>
        <v>268</v>
      </c>
      <c r="AW61">
        <f>SUM(AW50:AW53)</f>
        <v>303</v>
      </c>
      <c r="AX61">
        <f>SUM(AX50:AX53)</f>
        <v>717</v>
      </c>
      <c r="AY61" s="3">
        <f t="shared" si="41"/>
        <v>317</v>
      </c>
      <c r="AZ61" s="3">
        <f t="shared" si="42"/>
        <v>985</v>
      </c>
      <c r="BB61">
        <f>SUM(BB50:BB53)</f>
        <v>49</v>
      </c>
      <c r="BC61">
        <f>SUM(BC50:BC53)</f>
        <v>424</v>
      </c>
      <c r="BD61">
        <f>SUM(BD50:BD53)</f>
        <v>26</v>
      </c>
      <c r="BE61">
        <f>SUM(BE50:BE53)</f>
        <v>158</v>
      </c>
      <c r="BF61" s="13">
        <f t="shared" si="43"/>
        <v>392</v>
      </c>
      <c r="BG61" s="13">
        <f t="shared" si="44"/>
        <v>1567</v>
      </c>
      <c r="BH61" s="10">
        <f t="shared" si="45"/>
        <v>3.9974489795918369</v>
      </c>
      <c r="BI61" s="10"/>
      <c r="BK61">
        <f>SUM(BK50:BK53)</f>
        <v>5</v>
      </c>
      <c r="BL61">
        <f>SUM(BL50:BL53)</f>
        <v>74</v>
      </c>
      <c r="BM61">
        <f>SUM(BM50:BM53)</f>
        <v>41</v>
      </c>
      <c r="BN61">
        <f>SUM(BN50:BN53)</f>
        <v>1514</v>
      </c>
      <c r="BO61" s="14">
        <f t="shared" si="46"/>
        <v>46</v>
      </c>
      <c r="BP61" s="14">
        <f t="shared" si="47"/>
        <v>1588</v>
      </c>
      <c r="BR61">
        <f t="shared" ref="BR61:BW61" si="99">SUM(BR50:BR53)</f>
        <v>5</v>
      </c>
      <c r="BS61">
        <f t="shared" si="99"/>
        <v>159</v>
      </c>
      <c r="BT61">
        <f t="shared" si="99"/>
        <v>62</v>
      </c>
      <c r="BU61">
        <f t="shared" si="99"/>
        <v>788</v>
      </c>
      <c r="BV61">
        <f t="shared" si="99"/>
        <v>1</v>
      </c>
      <c r="BW61">
        <f t="shared" si="99"/>
        <v>113</v>
      </c>
      <c r="BX61" s="14">
        <f t="shared" si="48"/>
        <v>68</v>
      </c>
      <c r="BY61" s="14">
        <f t="shared" si="49"/>
        <v>1060</v>
      </c>
      <c r="CA61">
        <f>SUM(CA50:CA53)</f>
        <v>0</v>
      </c>
      <c r="CB61">
        <f>SUM(CB50:CB53)</f>
        <v>0</v>
      </c>
      <c r="CC61">
        <f>SUM(CC50:CC53)</f>
        <v>7</v>
      </c>
      <c r="CD61">
        <f>SUM(CD50:CD53)</f>
        <v>41</v>
      </c>
      <c r="CE61" s="13">
        <f t="shared" si="50"/>
        <v>121</v>
      </c>
      <c r="CF61" s="13">
        <f t="shared" si="51"/>
        <v>2689</v>
      </c>
      <c r="CG61" s="10">
        <f t="shared" si="52"/>
        <v>22.223140495867767</v>
      </c>
      <c r="CH61" s="10"/>
      <c r="CJ61">
        <f t="shared" ref="CJ61:CO61" si="100">SUM(CJ50:CJ53)</f>
        <v>15</v>
      </c>
      <c r="CK61">
        <f t="shared" si="100"/>
        <v>120</v>
      </c>
      <c r="CL61">
        <f t="shared" si="100"/>
        <v>23</v>
      </c>
      <c r="CM61">
        <f t="shared" si="100"/>
        <v>262</v>
      </c>
      <c r="CN61" s="3">
        <f t="shared" si="100"/>
        <v>38</v>
      </c>
      <c r="CO61" s="3">
        <f t="shared" si="100"/>
        <v>382</v>
      </c>
      <c r="CR61">
        <f t="shared" ref="CR61:DU61" si="101">SUM(CR50:CR53)</f>
        <v>0</v>
      </c>
      <c r="CS61">
        <f t="shared" si="101"/>
        <v>0</v>
      </c>
      <c r="CT61">
        <f t="shared" si="101"/>
        <v>978</v>
      </c>
      <c r="CU61">
        <f t="shared" si="101"/>
        <v>10349</v>
      </c>
      <c r="CV61">
        <f t="shared" si="101"/>
        <v>0</v>
      </c>
      <c r="CW61">
        <f t="shared" si="101"/>
        <v>0</v>
      </c>
      <c r="CX61">
        <f t="shared" si="101"/>
        <v>177</v>
      </c>
      <c r="CY61">
        <f t="shared" si="101"/>
        <v>1870</v>
      </c>
      <c r="CZ61">
        <f t="shared" si="101"/>
        <v>0</v>
      </c>
      <c r="DA61">
        <f t="shared" si="101"/>
        <v>0</v>
      </c>
      <c r="DB61">
        <f t="shared" si="101"/>
        <v>0</v>
      </c>
      <c r="DC61">
        <f t="shared" si="101"/>
        <v>0</v>
      </c>
      <c r="DD61">
        <f t="shared" si="101"/>
        <v>0</v>
      </c>
      <c r="DE61">
        <f t="shared" si="101"/>
        <v>0</v>
      </c>
      <c r="DF61">
        <f t="shared" si="101"/>
        <v>0</v>
      </c>
      <c r="DG61">
        <f t="shared" si="101"/>
        <v>0</v>
      </c>
      <c r="DH61">
        <f t="shared" si="101"/>
        <v>0</v>
      </c>
      <c r="DI61">
        <f t="shared" si="101"/>
        <v>0</v>
      </c>
      <c r="DJ61">
        <f t="shared" si="101"/>
        <v>13</v>
      </c>
      <c r="DK61">
        <f t="shared" si="101"/>
        <v>188</v>
      </c>
      <c r="DL61">
        <f t="shared" si="101"/>
        <v>0</v>
      </c>
      <c r="DM61">
        <f t="shared" si="101"/>
        <v>0</v>
      </c>
      <c r="DN61">
        <f t="shared" si="101"/>
        <v>0</v>
      </c>
      <c r="DO61">
        <f t="shared" si="101"/>
        <v>0</v>
      </c>
      <c r="DP61">
        <f t="shared" si="101"/>
        <v>0</v>
      </c>
      <c r="DQ61">
        <f t="shared" si="101"/>
        <v>0</v>
      </c>
      <c r="DR61">
        <f t="shared" si="101"/>
        <v>2</v>
      </c>
      <c r="DS61">
        <f t="shared" si="101"/>
        <v>3</v>
      </c>
      <c r="DT61">
        <f t="shared" si="101"/>
        <v>51</v>
      </c>
      <c r="DU61">
        <f t="shared" si="101"/>
        <v>343</v>
      </c>
      <c r="DV61" s="3">
        <f t="shared" si="55"/>
        <v>1221</v>
      </c>
      <c r="DW61" s="3">
        <f t="shared" si="56"/>
        <v>12753</v>
      </c>
      <c r="DY61">
        <f t="shared" ref="DY61:EL61" si="102">SUM(DY50:DY53)</f>
        <v>25</v>
      </c>
      <c r="DZ61">
        <f t="shared" si="102"/>
        <v>1022</v>
      </c>
      <c r="EA61">
        <f t="shared" si="102"/>
        <v>0</v>
      </c>
      <c r="EB61">
        <f t="shared" si="102"/>
        <v>0</v>
      </c>
      <c r="EC61">
        <f t="shared" si="102"/>
        <v>0</v>
      </c>
      <c r="ED61">
        <f t="shared" si="102"/>
        <v>0</v>
      </c>
      <c r="EE61">
        <f t="shared" si="102"/>
        <v>0</v>
      </c>
      <c r="EF61">
        <f t="shared" si="102"/>
        <v>0</v>
      </c>
      <c r="EG61">
        <f t="shared" si="102"/>
        <v>1</v>
      </c>
      <c r="EH61">
        <f t="shared" si="102"/>
        <v>8</v>
      </c>
      <c r="EI61">
        <f t="shared" si="102"/>
        <v>3</v>
      </c>
      <c r="EJ61">
        <f t="shared" si="102"/>
        <v>40</v>
      </c>
      <c r="EK61" s="3">
        <f t="shared" si="102"/>
        <v>29</v>
      </c>
      <c r="EL61" s="3">
        <f t="shared" si="102"/>
        <v>1070</v>
      </c>
      <c r="EM61" s="5">
        <f t="shared" si="59"/>
        <v>1288</v>
      </c>
      <c r="EN61" s="5">
        <f t="shared" si="60"/>
        <v>14205</v>
      </c>
      <c r="EO61" s="10">
        <f t="shared" si="61"/>
        <v>11.028726708074535</v>
      </c>
      <c r="ER61">
        <f>SUM(ER50:ER53)</f>
        <v>1</v>
      </c>
      <c r="ES61">
        <f>SUM(ES50:ES53)</f>
        <v>59</v>
      </c>
      <c r="EU61">
        <f>SUM(EU50:EU53)</f>
        <v>49</v>
      </c>
      <c r="EV61">
        <f>SUM(EV50:EV53)</f>
        <v>132</v>
      </c>
      <c r="EW61">
        <f>SUM(EW50:EW53)</f>
        <v>0</v>
      </c>
      <c r="EX61">
        <f>SUM(EX50:EX53)</f>
        <v>0</v>
      </c>
      <c r="EY61" s="3">
        <f t="shared" si="62"/>
        <v>49</v>
      </c>
      <c r="EZ61" s="3">
        <f t="shared" si="63"/>
        <v>132</v>
      </c>
      <c r="FB61">
        <f t="shared" ref="FB61:FG61" si="103">SUM(FB50:FB53)</f>
        <v>10</v>
      </c>
      <c r="FC61">
        <f t="shared" si="103"/>
        <v>100</v>
      </c>
      <c r="FD61">
        <f t="shared" si="103"/>
        <v>97</v>
      </c>
      <c r="FE61">
        <f t="shared" si="103"/>
        <v>313</v>
      </c>
      <c r="FF61">
        <f t="shared" si="103"/>
        <v>223</v>
      </c>
      <c r="FG61">
        <f t="shared" si="103"/>
        <v>408</v>
      </c>
      <c r="FH61" s="3">
        <f t="shared" si="64"/>
        <v>330</v>
      </c>
      <c r="FI61" s="3">
        <f t="shared" si="65"/>
        <v>821</v>
      </c>
      <c r="FK61">
        <f t="shared" ref="FK61:FP61" si="104">SUM(FK50:FK53)</f>
        <v>0</v>
      </c>
      <c r="FL61">
        <f t="shared" si="104"/>
        <v>0</v>
      </c>
      <c r="FM61">
        <f t="shared" si="104"/>
        <v>0</v>
      </c>
      <c r="FN61">
        <f t="shared" si="104"/>
        <v>0</v>
      </c>
      <c r="FO61">
        <f t="shared" si="104"/>
        <v>17</v>
      </c>
      <c r="FP61">
        <f t="shared" si="104"/>
        <v>122</v>
      </c>
      <c r="FQ61" s="3">
        <f t="shared" si="66"/>
        <v>17</v>
      </c>
      <c r="FR61" s="3">
        <f t="shared" si="67"/>
        <v>122</v>
      </c>
      <c r="FT61">
        <f t="shared" ref="FT61:GA61" si="105">SUM(FT50:FT53)</f>
        <v>2</v>
      </c>
      <c r="FU61">
        <f t="shared" si="105"/>
        <v>7</v>
      </c>
      <c r="FV61">
        <f t="shared" si="105"/>
        <v>0</v>
      </c>
      <c r="FW61">
        <f t="shared" si="105"/>
        <v>0</v>
      </c>
      <c r="FX61">
        <f t="shared" si="105"/>
        <v>33</v>
      </c>
      <c r="FY61">
        <f t="shared" si="105"/>
        <v>83</v>
      </c>
      <c r="FZ61">
        <f t="shared" si="105"/>
        <v>17</v>
      </c>
      <c r="GA61">
        <f t="shared" si="105"/>
        <v>116</v>
      </c>
      <c r="GB61" s="3">
        <f t="shared" si="68"/>
        <v>52</v>
      </c>
      <c r="GC61" s="3">
        <f t="shared" si="69"/>
        <v>206</v>
      </c>
      <c r="GE61">
        <f t="shared" ref="GE61:GT61" si="106">SUM(GE50:GE53)</f>
        <v>21</v>
      </c>
      <c r="GF61">
        <f t="shared" si="106"/>
        <v>217</v>
      </c>
      <c r="GG61">
        <f t="shared" si="106"/>
        <v>4</v>
      </c>
      <c r="GH61">
        <f t="shared" si="106"/>
        <v>20</v>
      </c>
      <c r="GI61">
        <f t="shared" si="106"/>
        <v>64</v>
      </c>
      <c r="GJ61">
        <f t="shared" si="106"/>
        <v>42</v>
      </c>
      <c r="GK61">
        <f t="shared" si="106"/>
        <v>889</v>
      </c>
      <c r="GL61">
        <f t="shared" si="106"/>
        <v>3171</v>
      </c>
      <c r="GM61">
        <f t="shared" si="106"/>
        <v>0</v>
      </c>
      <c r="GN61">
        <f t="shared" si="106"/>
        <v>0</v>
      </c>
      <c r="GO61">
        <f t="shared" si="106"/>
        <v>26</v>
      </c>
      <c r="GP61">
        <f t="shared" si="106"/>
        <v>165</v>
      </c>
      <c r="GQ61">
        <f t="shared" si="106"/>
        <v>0</v>
      </c>
      <c r="GR61">
        <f t="shared" si="106"/>
        <v>0</v>
      </c>
      <c r="GS61" s="20">
        <f t="shared" si="106"/>
        <v>1004</v>
      </c>
      <c r="GT61" s="3">
        <f t="shared" si="106"/>
        <v>3615</v>
      </c>
      <c r="GU61" s="5">
        <f t="shared" si="72"/>
        <v>1453</v>
      </c>
      <c r="GV61" s="5">
        <f t="shared" si="73"/>
        <v>4955</v>
      </c>
      <c r="GW61" s="10">
        <f t="shared" si="74"/>
        <v>3.4101858224363388</v>
      </c>
      <c r="GZ61">
        <f t="shared" ref="GZ61:HO61" si="107">SUM(GZ50:GZ53)</f>
        <v>457</v>
      </c>
      <c r="HA61">
        <f t="shared" si="107"/>
        <v>1246</v>
      </c>
      <c r="HB61">
        <f t="shared" si="107"/>
        <v>107</v>
      </c>
      <c r="HC61">
        <f t="shared" si="107"/>
        <v>635</v>
      </c>
      <c r="HD61">
        <f t="shared" si="107"/>
        <v>1</v>
      </c>
      <c r="HE61">
        <f t="shared" si="107"/>
        <v>15</v>
      </c>
      <c r="HF61">
        <f t="shared" si="107"/>
        <v>915</v>
      </c>
      <c r="HG61">
        <f t="shared" si="107"/>
        <v>3550</v>
      </c>
      <c r="HH61">
        <f t="shared" si="107"/>
        <v>400</v>
      </c>
      <c r="HI61">
        <f t="shared" si="107"/>
        <v>1013</v>
      </c>
      <c r="HJ61">
        <f t="shared" si="107"/>
        <v>123</v>
      </c>
      <c r="HK61">
        <f t="shared" si="107"/>
        <v>423</v>
      </c>
      <c r="HL61">
        <f t="shared" si="107"/>
        <v>58</v>
      </c>
      <c r="HM61">
        <f t="shared" si="107"/>
        <v>254</v>
      </c>
      <c r="HN61">
        <f t="shared" si="107"/>
        <v>11</v>
      </c>
      <c r="HO61">
        <f t="shared" si="107"/>
        <v>60</v>
      </c>
      <c r="HP61" s="3">
        <f t="shared" si="75"/>
        <v>2072</v>
      </c>
      <c r="HQ61" s="3">
        <f t="shared" si="76"/>
        <v>7196</v>
      </c>
      <c r="HT61">
        <f t="shared" ref="HT61:IC61" si="108">SUM(HT50:HT53)</f>
        <v>0</v>
      </c>
      <c r="HU61">
        <f t="shared" si="108"/>
        <v>0</v>
      </c>
      <c r="HV61">
        <f t="shared" si="108"/>
        <v>413</v>
      </c>
      <c r="HW61">
        <f t="shared" si="108"/>
        <v>1300</v>
      </c>
      <c r="HX61">
        <f t="shared" si="108"/>
        <v>134</v>
      </c>
      <c r="HY61">
        <f t="shared" si="108"/>
        <v>650</v>
      </c>
      <c r="HZ61">
        <f t="shared" si="108"/>
        <v>13</v>
      </c>
      <c r="IA61">
        <f t="shared" si="108"/>
        <v>36</v>
      </c>
      <c r="IB61">
        <f t="shared" si="108"/>
        <v>10</v>
      </c>
      <c r="IC61">
        <f t="shared" si="108"/>
        <v>55</v>
      </c>
      <c r="ID61" s="3">
        <f t="shared" si="77"/>
        <v>570</v>
      </c>
      <c r="IE61" s="3">
        <f t="shared" si="78"/>
        <v>2041</v>
      </c>
      <c r="IF61" s="3"/>
      <c r="IG61">
        <f>SUM(IG50:IG53)</f>
        <v>3</v>
      </c>
      <c r="IH61">
        <f>SUM(IH50:IH53)</f>
        <v>2443</v>
      </c>
      <c r="II61">
        <f>SUM(II50:II53)</f>
        <v>20</v>
      </c>
      <c r="IJ61">
        <f>SUM(IJ50:IJ53)</f>
        <v>120</v>
      </c>
      <c r="IK61" s="3">
        <f t="shared" si="79"/>
        <v>23</v>
      </c>
      <c r="IL61" s="3">
        <f t="shared" si="80"/>
        <v>2563</v>
      </c>
      <c r="IN61">
        <f>SUM(IN50:IN53)</f>
        <v>3</v>
      </c>
      <c r="IO61">
        <f>SUM(IO50:IO53)</f>
        <v>22</v>
      </c>
      <c r="IR61">
        <f t="shared" ref="IR61:JE61" si="109">SUM(IR50:IR53)</f>
        <v>24</v>
      </c>
      <c r="IS61">
        <f t="shared" si="109"/>
        <v>186</v>
      </c>
      <c r="IT61">
        <f t="shared" si="109"/>
        <v>44</v>
      </c>
      <c r="IU61">
        <f t="shared" si="109"/>
        <v>903</v>
      </c>
      <c r="IV61">
        <f t="shared" si="109"/>
        <v>457</v>
      </c>
      <c r="IW61">
        <f t="shared" si="109"/>
        <v>1620</v>
      </c>
      <c r="IX61">
        <f t="shared" si="109"/>
        <v>319</v>
      </c>
      <c r="IY61">
        <f t="shared" si="109"/>
        <v>1116</v>
      </c>
      <c r="IZ61">
        <f t="shared" si="109"/>
        <v>42</v>
      </c>
      <c r="JA61">
        <f t="shared" si="109"/>
        <v>165</v>
      </c>
      <c r="JB61">
        <f t="shared" si="109"/>
        <v>34</v>
      </c>
      <c r="JC61">
        <f t="shared" si="109"/>
        <v>122</v>
      </c>
      <c r="JD61">
        <f t="shared" si="109"/>
        <v>5</v>
      </c>
      <c r="JE61">
        <f t="shared" si="109"/>
        <v>7</v>
      </c>
      <c r="JF61" s="3">
        <f t="shared" si="81"/>
        <v>925</v>
      </c>
      <c r="JG61" s="3">
        <f t="shared" si="82"/>
        <v>4119</v>
      </c>
      <c r="JI61" s="5">
        <f t="shared" si="83"/>
        <v>3593</v>
      </c>
      <c r="JJ61" s="5">
        <f t="shared" si="84"/>
        <v>15941</v>
      </c>
      <c r="JK61" s="10">
        <f t="shared" si="85"/>
        <v>4.4366824380740333</v>
      </c>
      <c r="JM61">
        <f t="shared" ref="JM61:KE61" si="110">SUM(JM50:JM53)</f>
        <v>0</v>
      </c>
      <c r="JN61">
        <f t="shared" si="110"/>
        <v>1</v>
      </c>
      <c r="JO61">
        <f t="shared" si="110"/>
        <v>2</v>
      </c>
      <c r="JP61">
        <f t="shared" si="110"/>
        <v>0</v>
      </c>
      <c r="JQ61">
        <f t="shared" si="110"/>
        <v>0</v>
      </c>
      <c r="JR61">
        <f t="shared" si="110"/>
        <v>27</v>
      </c>
      <c r="JS61">
        <f t="shared" si="110"/>
        <v>516</v>
      </c>
      <c r="JT61">
        <f t="shared" si="110"/>
        <v>375</v>
      </c>
      <c r="JU61">
        <f t="shared" si="110"/>
        <v>953</v>
      </c>
      <c r="JV61">
        <f t="shared" si="110"/>
        <v>254</v>
      </c>
      <c r="JW61">
        <f t="shared" si="110"/>
        <v>668</v>
      </c>
      <c r="JX61">
        <f t="shared" si="110"/>
        <v>26</v>
      </c>
      <c r="JY61">
        <f t="shared" si="110"/>
        <v>71</v>
      </c>
      <c r="JZ61">
        <f t="shared" si="110"/>
        <v>0</v>
      </c>
      <c r="KA61">
        <f t="shared" si="110"/>
        <v>0</v>
      </c>
      <c r="KB61">
        <f t="shared" si="110"/>
        <v>24</v>
      </c>
      <c r="KC61">
        <f t="shared" si="110"/>
        <v>46</v>
      </c>
      <c r="KD61">
        <f t="shared" si="110"/>
        <v>17</v>
      </c>
      <c r="KE61">
        <f t="shared" si="110"/>
        <v>51</v>
      </c>
      <c r="KF61" s="3">
        <f t="shared" si="86"/>
        <v>724</v>
      </c>
      <c r="KG61" s="3">
        <f t="shared" si="87"/>
        <v>2307</v>
      </c>
      <c r="KJ61">
        <f t="shared" ref="KJ61:KO61" si="111">SUM(KJ50:KJ53)</f>
        <v>12</v>
      </c>
      <c r="KK61">
        <f t="shared" si="111"/>
        <v>42</v>
      </c>
      <c r="KL61">
        <f t="shared" si="111"/>
        <v>10</v>
      </c>
      <c r="KM61">
        <f t="shared" si="111"/>
        <v>422</v>
      </c>
      <c r="KN61">
        <f t="shared" si="111"/>
        <v>2</v>
      </c>
      <c r="KO61">
        <f t="shared" si="111"/>
        <v>9</v>
      </c>
      <c r="KP61" s="3">
        <f t="shared" si="88"/>
        <v>24</v>
      </c>
      <c r="KQ61" s="3">
        <f t="shared" si="89"/>
        <v>473</v>
      </c>
      <c r="KS61" s="5">
        <f t="shared" si="90"/>
        <v>748</v>
      </c>
      <c r="KT61" s="5">
        <f t="shared" si="91"/>
        <v>2780</v>
      </c>
      <c r="KU61" s="10">
        <f t="shared" si="92"/>
        <v>3.7165775401069521</v>
      </c>
      <c r="KW61" s="5">
        <f t="shared" si="93"/>
        <v>9244</v>
      </c>
      <c r="KX61" s="5">
        <f t="shared" si="94"/>
        <v>47825</v>
      </c>
      <c r="KY61" s="10">
        <f t="shared" si="95"/>
        <v>5.1736261358719169</v>
      </c>
      <c r="LA61" s="15" t="s">
        <v>298</v>
      </c>
      <c r="LB61">
        <f>SUM(LB50:LB53)</f>
        <v>865009</v>
      </c>
      <c r="LD61" s="11">
        <f t="shared" si="96"/>
        <v>10.686594012316634</v>
      </c>
      <c r="LE61" s="11">
        <f t="shared" si="97"/>
        <v>55.288442085573671</v>
      </c>
    </row>
    <row r="62" spans="1:319" ht="15.75" x14ac:dyDescent="0.25">
      <c r="A62" s="22" t="s">
        <v>376</v>
      </c>
      <c r="B62" s="24" t="s">
        <v>299</v>
      </c>
      <c r="C62" s="1"/>
      <c r="D62" s="1"/>
      <c r="E62">
        <f>SUM(E54:E59)</f>
        <v>4</v>
      </c>
      <c r="F62">
        <f>SUM(F54:F59)</f>
        <v>42</v>
      </c>
      <c r="G62">
        <f>SUM(G54:G59)</f>
        <v>43</v>
      </c>
      <c r="H62">
        <f>SUM(H54:H59)</f>
        <v>406</v>
      </c>
      <c r="J62">
        <f>SUM(J54:J59)</f>
        <v>0</v>
      </c>
      <c r="K62">
        <f>SUM(K54:K59)</f>
        <v>0</v>
      </c>
      <c r="L62">
        <f>SUM(L54:L59)</f>
        <v>160</v>
      </c>
      <c r="M62">
        <f>SUM(M54:M59)</f>
        <v>1259</v>
      </c>
      <c r="N62" s="3">
        <f t="shared" si="29"/>
        <v>160</v>
      </c>
      <c r="O62" s="3">
        <f t="shared" si="30"/>
        <v>1259</v>
      </c>
      <c r="P62" s="5">
        <f t="shared" si="31"/>
        <v>207</v>
      </c>
      <c r="Q62" s="5">
        <f t="shared" si="32"/>
        <v>1707</v>
      </c>
      <c r="R62" s="10">
        <f t="shared" si="33"/>
        <v>8.2463768115942031</v>
      </c>
      <c r="U62">
        <f t="shared" ref="U62:Z62" si="112">SUM(U54:U59)</f>
        <v>54</v>
      </c>
      <c r="V62">
        <f t="shared" si="112"/>
        <v>416</v>
      </c>
      <c r="W62">
        <f t="shared" si="112"/>
        <v>248</v>
      </c>
      <c r="X62">
        <f t="shared" si="112"/>
        <v>1909</v>
      </c>
      <c r="Y62">
        <f t="shared" si="112"/>
        <v>119</v>
      </c>
      <c r="Z62">
        <f t="shared" si="112"/>
        <v>1122</v>
      </c>
      <c r="AA62" s="3">
        <f t="shared" si="34"/>
        <v>421</v>
      </c>
      <c r="AB62" s="3">
        <f t="shared" si="35"/>
        <v>3447</v>
      </c>
      <c r="AD62" s="19">
        <f>SUM(AD54:AD59)</f>
        <v>51</v>
      </c>
      <c r="AE62" s="19">
        <f>SUM(AE54:AE59)</f>
        <v>651</v>
      </c>
      <c r="AF62">
        <f>SUM(AF54:AF59)</f>
        <v>37</v>
      </c>
      <c r="AG62">
        <f>SUM(AG54:AG59)</f>
        <v>498</v>
      </c>
      <c r="AI62">
        <f>SUM(AI54:AI59)</f>
        <v>29</v>
      </c>
      <c r="AJ62">
        <f>SUM(AJ54:AJ59)</f>
        <v>252</v>
      </c>
      <c r="AK62">
        <f>SUM(AK54:AK59)</f>
        <v>53</v>
      </c>
      <c r="AL62">
        <f>SUM(AL54:AL59)</f>
        <v>476</v>
      </c>
      <c r="AM62" s="3">
        <f t="shared" si="36"/>
        <v>82</v>
      </c>
      <c r="AN62" s="3">
        <f t="shared" si="37"/>
        <v>728</v>
      </c>
      <c r="AP62" s="5">
        <f t="shared" si="38"/>
        <v>591</v>
      </c>
      <c r="AQ62" s="5">
        <f t="shared" si="39"/>
        <v>5324</v>
      </c>
      <c r="AR62" s="10">
        <f t="shared" si="40"/>
        <v>9.0084602368866324</v>
      </c>
      <c r="AU62">
        <f>SUM(AU54:AU59)</f>
        <v>75</v>
      </c>
      <c r="AV62">
        <f>SUM(AV54:AV59)</f>
        <v>601</v>
      </c>
      <c r="AW62">
        <f>SUM(AW54:AW59)</f>
        <v>287</v>
      </c>
      <c r="AX62">
        <f>SUM(AX54:AX59)</f>
        <v>1315</v>
      </c>
      <c r="AY62" s="3">
        <f t="shared" si="41"/>
        <v>362</v>
      </c>
      <c r="AZ62" s="3">
        <f t="shared" si="42"/>
        <v>1916</v>
      </c>
      <c r="BB62">
        <f>SUM(BB54:BB59)</f>
        <v>5</v>
      </c>
      <c r="BC62">
        <f>SUM(BC54:BC59)</f>
        <v>218</v>
      </c>
      <c r="BD62">
        <f>SUM(BD54:BD59)</f>
        <v>324</v>
      </c>
      <c r="BE62">
        <f>SUM(BE54:BE59)</f>
        <v>563</v>
      </c>
      <c r="BF62" s="13">
        <f t="shared" si="43"/>
        <v>691</v>
      </c>
      <c r="BG62" s="13">
        <f t="shared" si="44"/>
        <v>2697</v>
      </c>
      <c r="BH62" s="10">
        <f t="shared" si="45"/>
        <v>3.9030390738060783</v>
      </c>
      <c r="BI62" s="10"/>
      <c r="BK62">
        <f>SUM(BK54:BK59)</f>
        <v>1</v>
      </c>
      <c r="BL62">
        <f>SUM(BL54:BL59)</f>
        <v>350</v>
      </c>
      <c r="BM62">
        <f>SUM(BM54:BM59)</f>
        <v>59</v>
      </c>
      <c r="BN62">
        <f>SUM(BN54:BN59)</f>
        <v>1968</v>
      </c>
      <c r="BO62" s="14">
        <f t="shared" si="46"/>
        <v>60</v>
      </c>
      <c r="BP62" s="14">
        <f t="shared" si="47"/>
        <v>2318</v>
      </c>
      <c r="BR62">
        <f t="shared" ref="BR62:BW62" si="113">SUM(BR54:BR59)</f>
        <v>12</v>
      </c>
      <c r="BS62">
        <f t="shared" si="113"/>
        <v>997</v>
      </c>
      <c r="BT62">
        <f t="shared" si="113"/>
        <v>85</v>
      </c>
      <c r="BU62">
        <f t="shared" si="113"/>
        <v>968</v>
      </c>
      <c r="BV62">
        <f t="shared" si="113"/>
        <v>0</v>
      </c>
      <c r="BW62">
        <f t="shared" si="113"/>
        <v>0</v>
      </c>
      <c r="BX62" s="14">
        <f t="shared" si="48"/>
        <v>97</v>
      </c>
      <c r="BY62" s="14">
        <f t="shared" si="49"/>
        <v>1965</v>
      </c>
      <c r="CA62">
        <f>SUM(CA54:CA59)</f>
        <v>0</v>
      </c>
      <c r="CB62">
        <f>SUM(CB54:CB59)</f>
        <v>0</v>
      </c>
      <c r="CC62">
        <f>SUM(CC54:CC59)</f>
        <v>16</v>
      </c>
      <c r="CD62">
        <f>SUM(CD54:CD59)</f>
        <v>137</v>
      </c>
      <c r="CE62" s="13">
        <f t="shared" si="50"/>
        <v>173</v>
      </c>
      <c r="CF62" s="13">
        <f t="shared" si="51"/>
        <v>4420</v>
      </c>
      <c r="CG62" s="10">
        <f t="shared" si="52"/>
        <v>25.549132947976879</v>
      </c>
      <c r="CH62" s="10"/>
      <c r="CJ62">
        <f t="shared" ref="CJ62:CO62" si="114">SUM(CJ54:CJ59)</f>
        <v>9</v>
      </c>
      <c r="CK62">
        <f t="shared" si="114"/>
        <v>76</v>
      </c>
      <c r="CL62">
        <f t="shared" si="114"/>
        <v>102</v>
      </c>
      <c r="CM62">
        <f t="shared" si="114"/>
        <v>570</v>
      </c>
      <c r="CN62" s="3">
        <f t="shared" si="114"/>
        <v>111</v>
      </c>
      <c r="CO62" s="3">
        <f t="shared" si="114"/>
        <v>646</v>
      </c>
      <c r="CR62">
        <f t="shared" ref="CR62:DU62" si="115">SUM(CR54:CR59)</f>
        <v>0</v>
      </c>
      <c r="CS62">
        <f t="shared" si="115"/>
        <v>0</v>
      </c>
      <c r="CT62">
        <f t="shared" si="115"/>
        <v>1165</v>
      </c>
      <c r="CU62">
        <f t="shared" si="115"/>
        <v>13967</v>
      </c>
      <c r="CV62">
        <f t="shared" si="115"/>
        <v>0</v>
      </c>
      <c r="CW62">
        <f t="shared" si="115"/>
        <v>0</v>
      </c>
      <c r="CX62">
        <f t="shared" si="115"/>
        <v>241</v>
      </c>
      <c r="CY62">
        <f t="shared" si="115"/>
        <v>2411</v>
      </c>
      <c r="CZ62">
        <f t="shared" si="115"/>
        <v>0</v>
      </c>
      <c r="DA62">
        <f t="shared" si="115"/>
        <v>0</v>
      </c>
      <c r="DB62">
        <f t="shared" si="115"/>
        <v>0</v>
      </c>
      <c r="DC62">
        <f t="shared" si="115"/>
        <v>0</v>
      </c>
      <c r="DD62">
        <f t="shared" si="115"/>
        <v>0</v>
      </c>
      <c r="DE62">
        <f t="shared" si="115"/>
        <v>0</v>
      </c>
      <c r="DF62">
        <f t="shared" si="115"/>
        <v>0</v>
      </c>
      <c r="DG62">
        <f t="shared" si="115"/>
        <v>0</v>
      </c>
      <c r="DH62">
        <f t="shared" si="115"/>
        <v>0</v>
      </c>
      <c r="DI62">
        <f t="shared" si="115"/>
        <v>0</v>
      </c>
      <c r="DJ62">
        <f t="shared" si="115"/>
        <v>25</v>
      </c>
      <c r="DK62">
        <f t="shared" si="115"/>
        <v>415</v>
      </c>
      <c r="DL62">
        <f t="shared" si="115"/>
        <v>0</v>
      </c>
      <c r="DM62">
        <f t="shared" si="115"/>
        <v>0</v>
      </c>
      <c r="DN62">
        <f t="shared" si="115"/>
        <v>0</v>
      </c>
      <c r="DO62">
        <f t="shared" si="115"/>
        <v>0</v>
      </c>
      <c r="DP62">
        <f t="shared" si="115"/>
        <v>0</v>
      </c>
      <c r="DQ62">
        <f t="shared" si="115"/>
        <v>0</v>
      </c>
      <c r="DR62">
        <f t="shared" si="115"/>
        <v>4</v>
      </c>
      <c r="DS62">
        <f t="shared" si="115"/>
        <v>16</v>
      </c>
      <c r="DT62">
        <f t="shared" si="115"/>
        <v>40</v>
      </c>
      <c r="DU62">
        <f t="shared" si="115"/>
        <v>482</v>
      </c>
      <c r="DV62" s="3">
        <f t="shared" si="55"/>
        <v>1475</v>
      </c>
      <c r="DW62" s="3">
        <f t="shared" si="56"/>
        <v>17291</v>
      </c>
      <c r="DY62">
        <f t="shared" ref="DY62:EL62" si="116">SUM(DY54:DY59)</f>
        <v>39</v>
      </c>
      <c r="DZ62">
        <f t="shared" si="116"/>
        <v>1319</v>
      </c>
      <c r="EA62">
        <f t="shared" si="116"/>
        <v>3</v>
      </c>
      <c r="EB62">
        <f t="shared" si="116"/>
        <v>14</v>
      </c>
      <c r="EC62">
        <f t="shared" si="116"/>
        <v>0</v>
      </c>
      <c r="ED62">
        <f t="shared" si="116"/>
        <v>0</v>
      </c>
      <c r="EE62">
        <f t="shared" si="116"/>
        <v>0</v>
      </c>
      <c r="EF62">
        <f t="shared" si="116"/>
        <v>0</v>
      </c>
      <c r="EG62">
        <f t="shared" si="116"/>
        <v>199</v>
      </c>
      <c r="EH62">
        <f t="shared" si="116"/>
        <v>5558</v>
      </c>
      <c r="EI62">
        <f t="shared" si="116"/>
        <v>15</v>
      </c>
      <c r="EJ62">
        <f t="shared" si="116"/>
        <v>127</v>
      </c>
      <c r="EK62" s="3">
        <f t="shared" si="116"/>
        <v>256</v>
      </c>
      <c r="EL62" s="3">
        <f t="shared" si="116"/>
        <v>7018</v>
      </c>
      <c r="EM62" s="5">
        <f t="shared" si="59"/>
        <v>1842</v>
      </c>
      <c r="EN62" s="5">
        <f t="shared" si="60"/>
        <v>24955</v>
      </c>
      <c r="EO62" s="10">
        <f t="shared" si="61"/>
        <v>13.547774158523344</v>
      </c>
      <c r="ER62">
        <f>SUM(ER54:ER59)</f>
        <v>0</v>
      </c>
      <c r="ES62">
        <f>SUM(ES54:ES59)</f>
        <v>0</v>
      </c>
      <c r="EU62">
        <f>SUM(EU54:EU59)</f>
        <v>39</v>
      </c>
      <c r="EV62">
        <f>SUM(EV54:EV59)</f>
        <v>457</v>
      </c>
      <c r="EW62">
        <f>SUM(EW54:EW59)</f>
        <v>104</v>
      </c>
      <c r="EX62">
        <f>SUM(EX54:EX59)</f>
        <v>1201</v>
      </c>
      <c r="EY62" s="3">
        <f t="shared" si="62"/>
        <v>143</v>
      </c>
      <c r="EZ62" s="3">
        <f t="shared" si="63"/>
        <v>1658</v>
      </c>
      <c r="FB62">
        <f t="shared" ref="FB62:FG62" si="117">SUM(FB54:FB59)</f>
        <v>12</v>
      </c>
      <c r="FC62">
        <f t="shared" si="117"/>
        <v>132</v>
      </c>
      <c r="FD62">
        <f t="shared" si="117"/>
        <v>122</v>
      </c>
      <c r="FE62">
        <f t="shared" si="117"/>
        <v>1044</v>
      </c>
      <c r="FF62">
        <f t="shared" si="117"/>
        <v>361</v>
      </c>
      <c r="FG62">
        <f t="shared" si="117"/>
        <v>2978</v>
      </c>
      <c r="FH62" s="3">
        <f t="shared" si="64"/>
        <v>495</v>
      </c>
      <c r="FI62" s="3">
        <f t="shared" si="65"/>
        <v>4154</v>
      </c>
      <c r="FK62">
        <f t="shared" ref="FK62:FP62" si="118">SUM(FK54:FK59)</f>
        <v>6</v>
      </c>
      <c r="FL62">
        <f t="shared" si="118"/>
        <v>77</v>
      </c>
      <c r="FM62">
        <f t="shared" si="118"/>
        <v>109</v>
      </c>
      <c r="FN62">
        <f t="shared" si="118"/>
        <v>766</v>
      </c>
      <c r="FO62">
        <f t="shared" si="118"/>
        <v>16</v>
      </c>
      <c r="FP62">
        <f t="shared" si="118"/>
        <v>130</v>
      </c>
      <c r="FQ62" s="3">
        <f t="shared" si="66"/>
        <v>131</v>
      </c>
      <c r="FR62" s="3">
        <f t="shared" si="67"/>
        <v>973</v>
      </c>
      <c r="FT62">
        <f t="shared" ref="FT62:GA62" si="119">SUM(FT54:FT59)</f>
        <v>1</v>
      </c>
      <c r="FU62">
        <f t="shared" si="119"/>
        <v>8</v>
      </c>
      <c r="FV62">
        <f t="shared" si="119"/>
        <v>6</v>
      </c>
      <c r="FW62">
        <f t="shared" si="119"/>
        <v>35</v>
      </c>
      <c r="FX62">
        <f t="shared" si="119"/>
        <v>16</v>
      </c>
      <c r="FY62">
        <f t="shared" si="119"/>
        <v>105</v>
      </c>
      <c r="FZ62">
        <f t="shared" si="119"/>
        <v>18</v>
      </c>
      <c r="GA62">
        <f t="shared" si="119"/>
        <v>140</v>
      </c>
      <c r="GB62" s="3">
        <f t="shared" si="68"/>
        <v>41</v>
      </c>
      <c r="GC62" s="3">
        <f t="shared" si="69"/>
        <v>288</v>
      </c>
      <c r="GE62">
        <f t="shared" ref="GE62:GT62" si="120">SUM(GE54:GE59)</f>
        <v>14</v>
      </c>
      <c r="GF62">
        <f t="shared" si="120"/>
        <v>43</v>
      </c>
      <c r="GG62">
        <f t="shared" si="120"/>
        <v>2</v>
      </c>
      <c r="GH62">
        <f t="shared" si="120"/>
        <v>19</v>
      </c>
      <c r="GI62">
        <f t="shared" si="120"/>
        <v>0</v>
      </c>
      <c r="GJ62">
        <f t="shared" si="120"/>
        <v>0</v>
      </c>
      <c r="GK62">
        <f t="shared" si="120"/>
        <v>438</v>
      </c>
      <c r="GL62">
        <f t="shared" si="120"/>
        <v>3784</v>
      </c>
      <c r="GM62">
        <f t="shared" si="120"/>
        <v>0</v>
      </c>
      <c r="GN62">
        <f t="shared" si="120"/>
        <v>0</v>
      </c>
      <c r="GO62">
        <f t="shared" si="120"/>
        <v>17</v>
      </c>
      <c r="GP62">
        <f t="shared" si="120"/>
        <v>71</v>
      </c>
      <c r="GQ62">
        <f t="shared" si="120"/>
        <v>19</v>
      </c>
      <c r="GR62">
        <f t="shared" si="120"/>
        <v>131</v>
      </c>
      <c r="GS62" s="3">
        <f t="shared" si="120"/>
        <v>490</v>
      </c>
      <c r="GT62" s="3">
        <f t="shared" si="120"/>
        <v>4048</v>
      </c>
      <c r="GU62" s="5">
        <f t="shared" si="72"/>
        <v>1300</v>
      </c>
      <c r="GV62" s="5">
        <f t="shared" si="73"/>
        <v>11121</v>
      </c>
      <c r="GW62" s="10">
        <f t="shared" si="74"/>
        <v>8.554615384615385</v>
      </c>
      <c r="GZ62">
        <f t="shared" ref="GZ62:HO62" si="121">SUM(GZ54:GZ59)</f>
        <v>5</v>
      </c>
      <c r="HA62">
        <f t="shared" si="121"/>
        <v>22</v>
      </c>
      <c r="HB62">
        <f t="shared" si="121"/>
        <v>408</v>
      </c>
      <c r="HC62">
        <f t="shared" si="121"/>
        <v>3644</v>
      </c>
      <c r="HD62">
        <f t="shared" si="121"/>
        <v>63</v>
      </c>
      <c r="HE62">
        <f t="shared" si="121"/>
        <v>532</v>
      </c>
      <c r="HF62">
        <f t="shared" si="121"/>
        <v>651</v>
      </c>
      <c r="HG62">
        <f t="shared" si="121"/>
        <v>4210</v>
      </c>
      <c r="HH62">
        <f t="shared" si="121"/>
        <v>1053</v>
      </c>
      <c r="HI62">
        <f t="shared" si="121"/>
        <v>7699</v>
      </c>
      <c r="HJ62">
        <f t="shared" si="121"/>
        <v>160</v>
      </c>
      <c r="HK62">
        <f t="shared" si="121"/>
        <v>1413</v>
      </c>
      <c r="HL62">
        <f t="shared" si="121"/>
        <v>89</v>
      </c>
      <c r="HM62">
        <f t="shared" si="121"/>
        <v>768</v>
      </c>
      <c r="HN62">
        <f t="shared" si="121"/>
        <v>23</v>
      </c>
      <c r="HO62">
        <f t="shared" si="121"/>
        <v>161</v>
      </c>
      <c r="HP62" s="3">
        <f t="shared" si="75"/>
        <v>2452</v>
      </c>
      <c r="HQ62" s="3">
        <f t="shared" si="76"/>
        <v>18449</v>
      </c>
      <c r="HT62">
        <f t="shared" ref="HT62:IC62" si="122">SUM(HT54:HT59)</f>
        <v>1</v>
      </c>
      <c r="HU62">
        <f t="shared" si="122"/>
        <v>13</v>
      </c>
      <c r="HV62">
        <f t="shared" si="122"/>
        <v>337</v>
      </c>
      <c r="HW62">
        <f t="shared" si="122"/>
        <v>2982</v>
      </c>
      <c r="HX62">
        <f t="shared" si="122"/>
        <v>147</v>
      </c>
      <c r="HY62">
        <f t="shared" si="122"/>
        <v>1429</v>
      </c>
      <c r="HZ62">
        <f t="shared" si="122"/>
        <v>26</v>
      </c>
      <c r="IA62">
        <f t="shared" si="122"/>
        <v>196</v>
      </c>
      <c r="IB62">
        <f t="shared" si="122"/>
        <v>0</v>
      </c>
      <c r="IC62">
        <f t="shared" si="122"/>
        <v>0</v>
      </c>
      <c r="ID62" s="3">
        <f t="shared" si="77"/>
        <v>511</v>
      </c>
      <c r="IE62" s="3">
        <f t="shared" si="78"/>
        <v>4620</v>
      </c>
      <c r="IF62" s="3"/>
      <c r="IG62">
        <f>SUM(IG54:IG59)</f>
        <v>11</v>
      </c>
      <c r="IH62">
        <f>SUM(IH54:IH59)</f>
        <v>271</v>
      </c>
      <c r="II62">
        <f>SUM(II54:II59)</f>
        <v>57</v>
      </c>
      <c r="IJ62">
        <f>SUM(IJ54:IJ59)</f>
        <v>442</v>
      </c>
      <c r="IK62" s="3">
        <f t="shared" si="79"/>
        <v>68</v>
      </c>
      <c r="IL62" s="3">
        <f t="shared" si="80"/>
        <v>713</v>
      </c>
      <c r="IN62">
        <f>SUM(IN54:IN59)</f>
        <v>0</v>
      </c>
      <c r="IO62">
        <f>SUM(IO54:IO59)</f>
        <v>0</v>
      </c>
      <c r="IR62">
        <f t="shared" ref="IR62:JE62" si="123">SUM(IR54:IR59)</f>
        <v>276</v>
      </c>
      <c r="IS62">
        <f t="shared" si="123"/>
        <v>882</v>
      </c>
      <c r="IT62">
        <f t="shared" si="123"/>
        <v>265</v>
      </c>
      <c r="IU62">
        <f t="shared" si="123"/>
        <v>1494</v>
      </c>
      <c r="IV62">
        <f t="shared" si="123"/>
        <v>354</v>
      </c>
      <c r="IW62">
        <f t="shared" si="123"/>
        <v>2961</v>
      </c>
      <c r="IX62">
        <f t="shared" si="123"/>
        <v>176</v>
      </c>
      <c r="IY62">
        <f t="shared" si="123"/>
        <v>1414</v>
      </c>
      <c r="IZ62">
        <f t="shared" si="123"/>
        <v>72</v>
      </c>
      <c r="JA62">
        <f t="shared" si="123"/>
        <v>542</v>
      </c>
      <c r="JB62">
        <f t="shared" si="123"/>
        <v>45</v>
      </c>
      <c r="JC62">
        <f t="shared" si="123"/>
        <v>307</v>
      </c>
      <c r="JD62">
        <f t="shared" si="123"/>
        <v>12</v>
      </c>
      <c r="JE62">
        <f t="shared" si="123"/>
        <v>52</v>
      </c>
      <c r="JF62" s="3">
        <f t="shared" si="81"/>
        <v>1200</v>
      </c>
      <c r="JG62" s="3">
        <f t="shared" si="82"/>
        <v>7652</v>
      </c>
      <c r="JI62" s="5">
        <f t="shared" si="83"/>
        <v>4231</v>
      </c>
      <c r="JJ62" s="5">
        <f t="shared" si="84"/>
        <v>31434</v>
      </c>
      <c r="JK62" s="10">
        <f t="shared" si="85"/>
        <v>7.4294493027653035</v>
      </c>
      <c r="JM62">
        <f t="shared" ref="JM62:KE62" si="124">SUM(JM54:JM59)</f>
        <v>0</v>
      </c>
      <c r="JN62">
        <f t="shared" si="124"/>
        <v>1</v>
      </c>
      <c r="JO62">
        <f t="shared" si="124"/>
        <v>24</v>
      </c>
      <c r="JP62">
        <f t="shared" si="124"/>
        <v>0</v>
      </c>
      <c r="JQ62">
        <f t="shared" si="124"/>
        <v>0</v>
      </c>
      <c r="JR62">
        <f t="shared" si="124"/>
        <v>13</v>
      </c>
      <c r="JS62">
        <f t="shared" si="124"/>
        <v>311</v>
      </c>
      <c r="JT62">
        <f t="shared" si="124"/>
        <v>117</v>
      </c>
      <c r="JU62">
        <f t="shared" si="124"/>
        <v>1269</v>
      </c>
      <c r="JV62">
        <f t="shared" si="124"/>
        <v>105</v>
      </c>
      <c r="JW62">
        <f t="shared" si="124"/>
        <v>1051</v>
      </c>
      <c r="JX62">
        <f t="shared" si="124"/>
        <v>5</v>
      </c>
      <c r="JY62">
        <f t="shared" si="124"/>
        <v>48</v>
      </c>
      <c r="JZ62">
        <f t="shared" si="124"/>
        <v>8</v>
      </c>
      <c r="KA62">
        <f t="shared" si="124"/>
        <v>68</v>
      </c>
      <c r="KB62">
        <f t="shared" si="124"/>
        <v>19</v>
      </c>
      <c r="KC62">
        <f t="shared" si="124"/>
        <v>165</v>
      </c>
      <c r="KD62">
        <f t="shared" si="124"/>
        <v>10</v>
      </c>
      <c r="KE62">
        <f t="shared" si="124"/>
        <v>102</v>
      </c>
      <c r="KF62" s="3">
        <f t="shared" si="86"/>
        <v>278</v>
      </c>
      <c r="KG62" s="3">
        <f t="shared" si="87"/>
        <v>3038</v>
      </c>
      <c r="KJ62">
        <f t="shared" ref="KJ62:KO62" si="125">SUM(KJ54:KJ59)</f>
        <v>6</v>
      </c>
      <c r="KK62">
        <f t="shared" si="125"/>
        <v>61</v>
      </c>
      <c r="KL62">
        <f t="shared" si="125"/>
        <v>12</v>
      </c>
      <c r="KM62">
        <f t="shared" si="125"/>
        <v>355</v>
      </c>
      <c r="KN62">
        <f t="shared" si="125"/>
        <v>1</v>
      </c>
      <c r="KO62">
        <f t="shared" si="125"/>
        <v>8</v>
      </c>
      <c r="KP62" s="3">
        <f t="shared" si="88"/>
        <v>19</v>
      </c>
      <c r="KQ62" s="3">
        <f t="shared" si="89"/>
        <v>424</v>
      </c>
      <c r="KS62" s="5">
        <f t="shared" si="90"/>
        <v>297</v>
      </c>
      <c r="KT62" s="5">
        <f t="shared" si="91"/>
        <v>3462</v>
      </c>
      <c r="KU62" s="10">
        <f t="shared" si="92"/>
        <v>11.656565656565656</v>
      </c>
      <c r="KW62" s="5">
        <f t="shared" si="93"/>
        <v>9332</v>
      </c>
      <c r="KX62" s="5">
        <f t="shared" si="94"/>
        <v>85120</v>
      </c>
      <c r="KY62" s="10">
        <f t="shared" si="95"/>
        <v>9.1213030432918991</v>
      </c>
      <c r="LA62" s="15" t="s">
        <v>299</v>
      </c>
      <c r="LB62">
        <f>SUM(LB54:LB59)</f>
        <v>1914052</v>
      </c>
      <c r="LD62" s="11">
        <f t="shared" si="96"/>
        <v>4.875520623264153</v>
      </c>
      <c r="LE62" s="11">
        <f t="shared" si="97"/>
        <v>44.47110109861174</v>
      </c>
    </row>
    <row r="63" spans="1:319" ht="15.75" x14ac:dyDescent="0.25">
      <c r="A63" s="22" t="s">
        <v>414</v>
      </c>
      <c r="B63" s="24" t="s">
        <v>358</v>
      </c>
      <c r="C63" s="1"/>
      <c r="D63" s="1"/>
      <c r="E63">
        <f>SUM(E60:E62)</f>
        <v>151</v>
      </c>
      <c r="F63">
        <f>SUM(F60:F62)</f>
        <v>2860</v>
      </c>
      <c r="G63">
        <f>SUM(G60:G62)</f>
        <v>705</v>
      </c>
      <c r="H63">
        <f>SUM(H60:H62)</f>
        <v>5824</v>
      </c>
      <c r="J63">
        <f>SUM(J60:J62)</f>
        <v>23</v>
      </c>
      <c r="K63">
        <f>SUM(K60:K62)</f>
        <v>506</v>
      </c>
      <c r="L63">
        <f>SUM(L60:L62)</f>
        <v>4905</v>
      </c>
      <c r="M63">
        <f>SUM(M60:M62)</f>
        <v>18011</v>
      </c>
      <c r="N63" s="3">
        <f t="shared" si="29"/>
        <v>4928</v>
      </c>
      <c r="O63" s="3">
        <f t="shared" si="30"/>
        <v>18517</v>
      </c>
      <c r="P63" s="5">
        <f t="shared" si="31"/>
        <v>5784</v>
      </c>
      <c r="Q63" s="5">
        <f t="shared" si="32"/>
        <v>27201</v>
      </c>
      <c r="R63" s="10">
        <f t="shared" si="33"/>
        <v>4.7028008298755184</v>
      </c>
      <c r="U63">
        <f>SUM(U60:U62)</f>
        <v>877</v>
      </c>
      <c r="V63">
        <f>SUM(V60:V62)</f>
        <v>17802</v>
      </c>
      <c r="W63">
        <f>SUM(W60:W62)</f>
        <v>10612</v>
      </c>
      <c r="X63">
        <f>SUM(X60:X62)</f>
        <v>41543</v>
      </c>
      <c r="Y63">
        <f>SUM(Y60:Y62)</f>
        <v>2334</v>
      </c>
      <c r="Z63">
        <f>SUM(Z60:Z62)</f>
        <v>15328</v>
      </c>
      <c r="AA63" s="3">
        <f t="shared" si="34"/>
        <v>13823</v>
      </c>
      <c r="AB63" s="3">
        <f t="shared" si="35"/>
        <v>74673</v>
      </c>
      <c r="AD63">
        <f>SUM(AD60:AD62)</f>
        <v>454</v>
      </c>
      <c r="AE63">
        <f>SUM(AE60:AE62)</f>
        <v>5801</v>
      </c>
      <c r="AF63">
        <f>SUM(AF60:AF62)</f>
        <v>449</v>
      </c>
      <c r="AG63">
        <f>SUM(AG60:AG62)</f>
        <v>6645</v>
      </c>
      <c r="AI63">
        <f>SUM(AI60:AI62)</f>
        <v>296</v>
      </c>
      <c r="AJ63">
        <f>SUM(AJ60:AJ62)</f>
        <v>3104</v>
      </c>
      <c r="AK63">
        <f>SUM(AK60:AK62)</f>
        <v>691</v>
      </c>
      <c r="AL63">
        <f>SUM(AL60:AL62)</f>
        <v>5783</v>
      </c>
      <c r="AM63" s="3">
        <f t="shared" si="36"/>
        <v>987</v>
      </c>
      <c r="AN63" s="3">
        <f t="shared" si="37"/>
        <v>8887</v>
      </c>
      <c r="AP63" s="5">
        <f t="shared" si="38"/>
        <v>15713</v>
      </c>
      <c r="AQ63" s="5">
        <f t="shared" si="39"/>
        <v>96006</v>
      </c>
      <c r="AR63" s="10">
        <f t="shared" si="40"/>
        <v>6.1099726341246106</v>
      </c>
      <c r="AU63">
        <f>SUM(AU60:AU62)</f>
        <v>374</v>
      </c>
      <c r="AV63">
        <f>SUM(AV60:AV62)</f>
        <v>6671</v>
      </c>
      <c r="AW63">
        <f>SUM(AW60:AW62)</f>
        <v>2949</v>
      </c>
      <c r="AX63">
        <f>SUM(AX60:AX62)</f>
        <v>12408</v>
      </c>
      <c r="AY63" s="3">
        <f t="shared" si="41"/>
        <v>3323</v>
      </c>
      <c r="AZ63" s="3">
        <f t="shared" si="42"/>
        <v>19079</v>
      </c>
      <c r="BB63">
        <f>SUM(BB60:BB62)</f>
        <v>93</v>
      </c>
      <c r="BC63">
        <f>SUM(BC60:BC62)</f>
        <v>2450</v>
      </c>
      <c r="BD63">
        <f>SUM(BD60:BD62)</f>
        <v>708</v>
      </c>
      <c r="BE63">
        <f>SUM(BE60:BE62)</f>
        <v>5069</v>
      </c>
      <c r="BF63" s="13">
        <f t="shared" si="43"/>
        <v>4124</v>
      </c>
      <c r="BG63" s="13">
        <f t="shared" si="44"/>
        <v>26598</v>
      </c>
      <c r="BH63" s="10">
        <f t="shared" si="45"/>
        <v>6.4495635305528616</v>
      </c>
      <c r="BI63" s="10"/>
      <c r="BK63">
        <f>SUM(BK60:BK62)</f>
        <v>84</v>
      </c>
      <c r="BL63">
        <f>SUM(BL60:BL62)</f>
        <v>1459</v>
      </c>
      <c r="BM63">
        <f>SUM(BM60:BM62)</f>
        <v>644</v>
      </c>
      <c r="BN63">
        <f>SUM(BN60:BN62)</f>
        <v>19216</v>
      </c>
      <c r="BO63" s="14">
        <f t="shared" si="46"/>
        <v>728</v>
      </c>
      <c r="BP63" s="14">
        <f t="shared" si="47"/>
        <v>20675</v>
      </c>
      <c r="BR63">
        <f>SUM(BR60:BR62)</f>
        <v>469</v>
      </c>
      <c r="BS63">
        <f>SUM(BS60:BS62)</f>
        <v>6649</v>
      </c>
      <c r="BT63">
        <f>SUM(BT60:BT62)</f>
        <v>940</v>
      </c>
      <c r="BU63">
        <f>SUM(BU60:BU62)</f>
        <v>11540</v>
      </c>
      <c r="BV63">
        <f>SUM(BV60:BV62)</f>
        <v>3</v>
      </c>
      <c r="BW63">
        <f>SUM(BW60:BW62)</f>
        <v>2116</v>
      </c>
      <c r="BX63" s="14">
        <f t="shared" si="48"/>
        <v>1412</v>
      </c>
      <c r="BY63" s="14">
        <f t="shared" si="49"/>
        <v>20305</v>
      </c>
      <c r="CA63">
        <f>SUM(CA60:CA62)</f>
        <v>8</v>
      </c>
      <c r="CB63">
        <f>SUM(CB60:CB62)</f>
        <v>134</v>
      </c>
      <c r="CC63">
        <f>SUM(CC60:CC62)</f>
        <v>167</v>
      </c>
      <c r="CD63">
        <f>SUM(CD60:CD62)</f>
        <v>3045</v>
      </c>
      <c r="CE63" s="13">
        <f t="shared" si="50"/>
        <v>2315</v>
      </c>
      <c r="CF63" s="13">
        <f t="shared" si="51"/>
        <v>44159</v>
      </c>
      <c r="CG63" s="10">
        <f t="shared" si="52"/>
        <v>19.075161987041035</v>
      </c>
      <c r="CH63" s="10"/>
      <c r="CJ63">
        <f>SUM(CJ60:CJ62)</f>
        <v>177</v>
      </c>
      <c r="CK63">
        <f>SUM(CK60:CK62)</f>
        <v>1162</v>
      </c>
      <c r="CL63">
        <f>SUM(CL60:CL62)</f>
        <v>961</v>
      </c>
      <c r="CM63">
        <f>SUM(CM60:CM62)</f>
        <v>10869</v>
      </c>
      <c r="CN63" s="3">
        <f>SUM(CN60:CN62)</f>
        <v>1138</v>
      </c>
      <c r="CO63" s="3">
        <f>SUM(CO60:CO62)</f>
        <v>12031</v>
      </c>
      <c r="CR63">
        <f>SUM(CR60:CR62)</f>
        <v>2</v>
      </c>
      <c r="CS63">
        <f>SUM(CS60:CS62)</f>
        <v>24</v>
      </c>
      <c r="CT63">
        <f>SUM(CT60:CT62)</f>
        <v>17928</v>
      </c>
      <c r="CU63">
        <f>SUM(CU60:CU62)</f>
        <v>186732</v>
      </c>
      <c r="CV63">
        <f>SUM(CV60:CV62)</f>
        <v>26</v>
      </c>
      <c r="CW63">
        <f>SUM(CW60:CW62)</f>
        <v>20560</v>
      </c>
      <c r="CX63">
        <f>SUM(CX60:CX62)</f>
        <v>2940</v>
      </c>
      <c r="CY63">
        <f>SUM(CY60:CY62)</f>
        <v>28500</v>
      </c>
      <c r="CZ63">
        <f>SUM(CZ60:CZ62)</f>
        <v>4</v>
      </c>
      <c r="DA63">
        <f>SUM(DA60:DA62)</f>
        <v>47</v>
      </c>
      <c r="DB63">
        <f>SUM(DB60:DB62)</f>
        <v>19</v>
      </c>
      <c r="DC63">
        <f>SUM(DC60:DC62)</f>
        <v>19163</v>
      </c>
      <c r="DD63">
        <f>SUM(DD60:DD62)</f>
        <v>1</v>
      </c>
      <c r="DE63">
        <f>SUM(DE60:DE62)</f>
        <v>9</v>
      </c>
      <c r="DF63">
        <f>SUM(DF60:DF62)</f>
        <v>1</v>
      </c>
      <c r="DG63">
        <f>SUM(DG60:DG62)</f>
        <v>10</v>
      </c>
      <c r="DH63">
        <f>SUM(DH60:DH62)</f>
        <v>7</v>
      </c>
      <c r="DI63">
        <f>SUM(DI60:DI62)</f>
        <v>103</v>
      </c>
      <c r="DJ63">
        <f>SUM(DJ60:DJ62)</f>
        <v>272</v>
      </c>
      <c r="DK63">
        <f>SUM(DK60:DK62)</f>
        <v>4204</v>
      </c>
      <c r="DL63">
        <f>SUM(DL60:DL62)</f>
        <v>1</v>
      </c>
      <c r="DM63">
        <f>SUM(DM60:DM62)</f>
        <v>7</v>
      </c>
      <c r="DN63">
        <f>SUM(DN60:DN62)</f>
        <v>17</v>
      </c>
      <c r="DO63">
        <f>SUM(DO60:DO62)</f>
        <v>199</v>
      </c>
      <c r="DP63">
        <f>SUM(DP60:DP62)</f>
        <v>1</v>
      </c>
      <c r="DQ63">
        <f>SUM(DQ60:DQ62)</f>
        <v>9</v>
      </c>
      <c r="DR63">
        <f>SUM(DR60:DR62)</f>
        <v>8</v>
      </c>
      <c r="DS63">
        <f>SUM(DS60:DS62)</f>
        <v>74</v>
      </c>
      <c r="DT63">
        <f>SUM(DT60:DT62)</f>
        <v>622</v>
      </c>
      <c r="DU63">
        <f>SUM(DU60:DU62)</f>
        <v>5230</v>
      </c>
      <c r="DV63" s="3">
        <f t="shared" si="55"/>
        <v>21849</v>
      </c>
      <c r="DW63" s="3">
        <f t="shared" si="56"/>
        <v>264871</v>
      </c>
      <c r="DY63">
        <f>SUM(DY60:DY62)</f>
        <v>305</v>
      </c>
      <c r="DZ63">
        <f>SUM(DZ60:DZ62)</f>
        <v>15740</v>
      </c>
      <c r="EA63">
        <f>SUM(EA60:EA62)</f>
        <v>11</v>
      </c>
      <c r="EB63">
        <f>SUM(EB60:EB62)</f>
        <v>172</v>
      </c>
      <c r="EC63">
        <f>SUM(EC60:EC62)</f>
        <v>6</v>
      </c>
      <c r="ED63">
        <f>SUM(ED60:ED62)</f>
        <v>79</v>
      </c>
      <c r="EE63">
        <f>SUM(EE60:EE62)</f>
        <v>21</v>
      </c>
      <c r="EF63">
        <f>SUM(EF60:EF62)</f>
        <v>3157</v>
      </c>
      <c r="EG63">
        <f>SUM(EG60:EG62)</f>
        <v>1396</v>
      </c>
      <c r="EH63">
        <f>SUM(EH60:EH62)</f>
        <v>23105</v>
      </c>
      <c r="EI63">
        <f>SUM(EI60:EI62)</f>
        <v>159</v>
      </c>
      <c r="EJ63">
        <f>SUM(EJ60:EJ62)</f>
        <v>1934</v>
      </c>
      <c r="EK63" s="3">
        <f>SUM(EK60:EK62)</f>
        <v>1898</v>
      </c>
      <c r="EL63" s="3">
        <f>SUM(EL60:EL62)</f>
        <v>44187</v>
      </c>
      <c r="EM63" s="5">
        <f t="shared" si="59"/>
        <v>24885</v>
      </c>
      <c r="EN63" s="5">
        <f t="shared" si="60"/>
        <v>321089</v>
      </c>
      <c r="EO63" s="10">
        <f t="shared" si="61"/>
        <v>12.902913401647579</v>
      </c>
      <c r="ER63">
        <f>SUM(ER60:ER62)</f>
        <v>10</v>
      </c>
      <c r="ES63">
        <f>SUM(ES60:ES62)</f>
        <v>224</v>
      </c>
      <c r="EU63">
        <f>SUM(EU60:EU62)</f>
        <v>183</v>
      </c>
      <c r="EV63">
        <f>SUM(EV60:EV62)</f>
        <v>1181</v>
      </c>
      <c r="EW63">
        <f>SUM(EW60:EW62)</f>
        <v>726</v>
      </c>
      <c r="EX63">
        <f>SUM(EX60:EX62)</f>
        <v>4545</v>
      </c>
      <c r="EY63" s="3">
        <f t="shared" si="62"/>
        <v>909</v>
      </c>
      <c r="EZ63" s="3">
        <f t="shared" si="63"/>
        <v>5726</v>
      </c>
      <c r="FB63">
        <f>SUM(FB60:FB62)</f>
        <v>127</v>
      </c>
      <c r="FC63">
        <f>SUM(FC60:FC62)</f>
        <v>1761</v>
      </c>
      <c r="FD63">
        <f>SUM(FD60:FD62)</f>
        <v>1383</v>
      </c>
      <c r="FE63">
        <f>SUM(FE60:FE62)</f>
        <v>7632</v>
      </c>
      <c r="FF63">
        <f>SUM(FF60:FF62)</f>
        <v>6444</v>
      </c>
      <c r="FG63">
        <f>SUM(FG60:FG62)</f>
        <v>14867</v>
      </c>
      <c r="FH63" s="3">
        <f t="shared" si="64"/>
        <v>7954</v>
      </c>
      <c r="FI63" s="3">
        <f t="shared" si="65"/>
        <v>24260</v>
      </c>
      <c r="FK63">
        <f>SUM(FK60:FK62)</f>
        <v>105</v>
      </c>
      <c r="FL63">
        <f>SUM(FL60:FL62)</f>
        <v>1175</v>
      </c>
      <c r="FM63">
        <f>SUM(FM60:FM62)</f>
        <v>109</v>
      </c>
      <c r="FN63">
        <f>SUM(FN60:FN62)</f>
        <v>766</v>
      </c>
      <c r="FO63">
        <f>SUM(FO60:FO62)</f>
        <v>638</v>
      </c>
      <c r="FP63">
        <f>SUM(FP60:FP62)</f>
        <v>5185</v>
      </c>
      <c r="FQ63" s="3">
        <f t="shared" si="66"/>
        <v>852</v>
      </c>
      <c r="FR63" s="3">
        <f t="shared" si="67"/>
        <v>7126</v>
      </c>
      <c r="FT63">
        <f>SUM(FT60:FT62)</f>
        <v>124</v>
      </c>
      <c r="FU63">
        <f>SUM(FU60:FU62)</f>
        <v>927</v>
      </c>
      <c r="FV63">
        <f>SUM(FV60:FV62)</f>
        <v>223</v>
      </c>
      <c r="FW63">
        <f>SUM(FW60:FW62)</f>
        <v>817</v>
      </c>
      <c r="FX63">
        <f>SUM(FX60:FX62)</f>
        <v>475</v>
      </c>
      <c r="FY63">
        <f>SUM(FY60:FY62)</f>
        <v>2808</v>
      </c>
      <c r="FZ63">
        <f>SUM(FZ60:FZ62)</f>
        <v>235</v>
      </c>
      <c r="GA63">
        <f>SUM(GA60:GA62)</f>
        <v>2113</v>
      </c>
      <c r="GB63" s="3">
        <f t="shared" si="68"/>
        <v>1057</v>
      </c>
      <c r="GC63" s="3">
        <f t="shared" si="69"/>
        <v>6665</v>
      </c>
      <c r="GE63">
        <f>SUM(GE60:GE62)</f>
        <v>1025</v>
      </c>
      <c r="GF63">
        <f>SUM(GF60:GF62)</f>
        <v>3646</v>
      </c>
      <c r="GG63">
        <f>SUM(GG60:GG62)</f>
        <v>61</v>
      </c>
      <c r="GH63">
        <f>SUM(GH60:GH62)</f>
        <v>410</v>
      </c>
      <c r="GI63">
        <f>SUM(GI60:GI62)</f>
        <v>783</v>
      </c>
      <c r="GJ63">
        <f>SUM(GJ60:GJ62)</f>
        <v>1060</v>
      </c>
      <c r="GK63">
        <f>SUM(GK60:GK62)</f>
        <v>13075</v>
      </c>
      <c r="GL63">
        <f>SUM(GL60:GL62)</f>
        <v>61714</v>
      </c>
      <c r="GM63">
        <f>SUM(GM60:GM62)</f>
        <v>1061</v>
      </c>
      <c r="GN63">
        <f>SUM(GN60:GN62)</f>
        <v>4432</v>
      </c>
      <c r="GO63">
        <f>SUM(GO60:GO62)</f>
        <v>453</v>
      </c>
      <c r="GP63">
        <f>SUM(GP60:GP62)</f>
        <v>3586</v>
      </c>
      <c r="GQ63">
        <f>SUM(GQ60:GQ62)</f>
        <v>240</v>
      </c>
      <c r="GR63">
        <f>SUM(GR60:GR62)</f>
        <v>1240</v>
      </c>
      <c r="GS63" s="3">
        <f>SUM(GS60:GS62)</f>
        <v>16698</v>
      </c>
      <c r="GT63" s="3">
        <f>SUM(GT60:GT62)</f>
        <v>76088</v>
      </c>
      <c r="GU63" s="5">
        <f t="shared" si="72"/>
        <v>27480</v>
      </c>
      <c r="GV63" s="5">
        <f t="shared" si="73"/>
        <v>120089</v>
      </c>
      <c r="GW63" s="10">
        <f t="shared" si="74"/>
        <v>4.3700509461426496</v>
      </c>
      <c r="GZ63">
        <f>SUM(GZ60:GZ62)</f>
        <v>638</v>
      </c>
      <c r="HA63">
        <f>SUM(HA60:HA62)</f>
        <v>3901</v>
      </c>
      <c r="HB63">
        <f>SUM(HB60:HB62)</f>
        <v>2621</v>
      </c>
      <c r="HC63">
        <f>SUM(HC60:HC62)</f>
        <v>22193</v>
      </c>
      <c r="HD63">
        <f>SUM(HD60:HD62)</f>
        <v>579</v>
      </c>
      <c r="HE63">
        <f>SUM(HE60:HE62)</f>
        <v>3329</v>
      </c>
      <c r="HF63">
        <f>SUM(HF60:HF62)</f>
        <v>10752</v>
      </c>
      <c r="HG63">
        <f>SUM(HG60:HG62)</f>
        <v>47706</v>
      </c>
      <c r="HH63">
        <f>SUM(HH60:HH62)</f>
        <v>13546</v>
      </c>
      <c r="HI63">
        <f>SUM(HI60:HI62)</f>
        <v>62507</v>
      </c>
      <c r="HJ63">
        <f>SUM(HJ60:HJ62)</f>
        <v>1201</v>
      </c>
      <c r="HK63">
        <f>SUM(HK60:HK62)</f>
        <v>7467</v>
      </c>
      <c r="HL63">
        <f>SUM(HL60:HL62)</f>
        <v>781</v>
      </c>
      <c r="HM63">
        <f>SUM(HM60:HM62)</f>
        <v>4723</v>
      </c>
      <c r="HN63">
        <f>SUM(HN60:HN62)</f>
        <v>162</v>
      </c>
      <c r="HO63">
        <f>SUM(HO60:HO62)</f>
        <v>1981</v>
      </c>
      <c r="HP63" s="3">
        <f t="shared" si="75"/>
        <v>30280</v>
      </c>
      <c r="HQ63" s="3">
        <f t="shared" si="76"/>
        <v>153807</v>
      </c>
      <c r="HT63">
        <f>SUM(HT60:HT62)</f>
        <v>22</v>
      </c>
      <c r="HU63">
        <f>SUM(HU60:HU62)</f>
        <v>167</v>
      </c>
      <c r="HV63">
        <f>SUM(HV60:HV62)</f>
        <v>4295</v>
      </c>
      <c r="HW63">
        <f>SUM(HW60:HW62)</f>
        <v>21483</v>
      </c>
      <c r="HX63">
        <f>SUM(HX60:HX62)</f>
        <v>1659</v>
      </c>
      <c r="HY63">
        <f>SUM(HY60:HY62)</f>
        <v>12987</v>
      </c>
      <c r="HZ63">
        <f>SUM(HZ60:HZ62)</f>
        <v>189</v>
      </c>
      <c r="IA63">
        <f>SUM(IA60:IA62)</f>
        <v>1694</v>
      </c>
      <c r="IB63">
        <f>SUM(IB60:IB62)</f>
        <v>98</v>
      </c>
      <c r="IC63">
        <f>SUM(IC60:IC62)</f>
        <v>912</v>
      </c>
      <c r="ID63" s="3">
        <f t="shared" si="77"/>
        <v>6263</v>
      </c>
      <c r="IE63" s="3">
        <f t="shared" si="78"/>
        <v>37243</v>
      </c>
      <c r="IF63" s="3"/>
      <c r="IG63">
        <f>SUM(IG60:IG62)</f>
        <v>92</v>
      </c>
      <c r="IH63">
        <f>SUM(IH60:IH62)</f>
        <v>5028</v>
      </c>
      <c r="II63">
        <f>SUM(II60:II62)</f>
        <v>474</v>
      </c>
      <c r="IJ63">
        <f>SUM(IJ60:IJ62)</f>
        <v>4536</v>
      </c>
      <c r="IK63" s="3">
        <f t="shared" si="79"/>
        <v>566</v>
      </c>
      <c r="IL63" s="3">
        <f t="shared" si="80"/>
        <v>9564</v>
      </c>
      <c r="IN63">
        <f>SUM(IN60:IN62)</f>
        <v>64</v>
      </c>
      <c r="IO63">
        <f>SUM(IO60:IO62)</f>
        <v>349</v>
      </c>
      <c r="IR63">
        <f>SUM(IR60:IR62)</f>
        <v>550</v>
      </c>
      <c r="IS63">
        <f>SUM(IS60:IS62)</f>
        <v>2825</v>
      </c>
      <c r="IT63">
        <f>SUM(IT60:IT62)</f>
        <v>535</v>
      </c>
      <c r="IU63">
        <f>SUM(IU60:IU62)</f>
        <v>5853</v>
      </c>
      <c r="IV63">
        <f>SUM(IV60:IV62)</f>
        <v>7355</v>
      </c>
      <c r="IW63">
        <f>SUM(IW60:IW62)</f>
        <v>35602</v>
      </c>
      <c r="IX63">
        <f>SUM(IX60:IX62)</f>
        <v>3318</v>
      </c>
      <c r="IY63">
        <f>SUM(IY60:IY62)</f>
        <v>19292</v>
      </c>
      <c r="IZ63">
        <f>SUM(IZ60:IZ62)</f>
        <v>767</v>
      </c>
      <c r="JA63">
        <f>SUM(JA60:JA62)</f>
        <v>3699</v>
      </c>
      <c r="JB63">
        <f>SUM(JB60:JB62)</f>
        <v>454</v>
      </c>
      <c r="JC63">
        <f>SUM(JC60:JC62)</f>
        <v>2264</v>
      </c>
      <c r="JD63">
        <f>SUM(JD60:JD62)</f>
        <v>120</v>
      </c>
      <c r="JE63">
        <f>SUM(JE60:JE62)</f>
        <v>588</v>
      </c>
      <c r="JF63" s="3">
        <f t="shared" si="81"/>
        <v>13099</v>
      </c>
      <c r="JG63" s="3">
        <f t="shared" si="82"/>
        <v>70123</v>
      </c>
      <c r="JI63" s="5">
        <f t="shared" si="83"/>
        <v>50272</v>
      </c>
      <c r="JJ63" s="5">
        <f t="shared" si="84"/>
        <v>271086</v>
      </c>
      <c r="JK63" s="10">
        <f t="shared" si="85"/>
        <v>5.392385423297263</v>
      </c>
      <c r="JM63">
        <f>SUM(JM60:JM62)</f>
        <v>0</v>
      </c>
      <c r="JN63">
        <f>SUM(JN60:JN62)</f>
        <v>68</v>
      </c>
      <c r="JO63">
        <f>SUM(JO60:JO62)</f>
        <v>470</v>
      </c>
      <c r="JP63">
        <f>SUM(JP60:JP62)</f>
        <v>21</v>
      </c>
      <c r="JQ63">
        <f>SUM(JQ60:JQ62)</f>
        <v>441</v>
      </c>
      <c r="JR63">
        <f>SUM(JR60:JR62)</f>
        <v>237</v>
      </c>
      <c r="JS63">
        <f>SUM(JS60:JS62)</f>
        <v>7058</v>
      </c>
      <c r="JT63">
        <f>SUM(JT60:JT62)</f>
        <v>2173</v>
      </c>
      <c r="JU63">
        <f>SUM(JU60:JU62)</f>
        <v>10352</v>
      </c>
      <c r="JV63">
        <f>SUM(JV60:JV62)</f>
        <v>1851</v>
      </c>
      <c r="JW63">
        <f>SUM(JW60:JW62)</f>
        <v>12934</v>
      </c>
      <c r="JX63">
        <f>SUM(JX60:JX62)</f>
        <v>207</v>
      </c>
      <c r="JY63">
        <f>SUM(JY60:JY62)</f>
        <v>1397</v>
      </c>
      <c r="JZ63">
        <f>SUM(JZ60:JZ62)</f>
        <v>49</v>
      </c>
      <c r="KA63">
        <f>SUM(KA60:KA62)</f>
        <v>410</v>
      </c>
      <c r="KB63">
        <f>SUM(KB60:KB62)</f>
        <v>410</v>
      </c>
      <c r="KC63">
        <f>SUM(KC60:KC62)</f>
        <v>2656</v>
      </c>
      <c r="KD63">
        <f>SUM(KD60:KD62)</f>
        <v>140</v>
      </c>
      <c r="KE63">
        <f>SUM(KE60:KE62)</f>
        <v>1232</v>
      </c>
      <c r="KF63" s="3">
        <f t="shared" si="86"/>
        <v>5156</v>
      </c>
      <c r="KG63" s="3">
        <f t="shared" si="87"/>
        <v>36950</v>
      </c>
      <c r="KJ63">
        <f>SUM(KJ60:KJ62)</f>
        <v>232</v>
      </c>
      <c r="KK63">
        <f>SUM(KK60:KK62)</f>
        <v>2140</v>
      </c>
      <c r="KL63">
        <f>SUM(KL60:KL62)</f>
        <v>111</v>
      </c>
      <c r="KM63">
        <f>SUM(KM60:KM62)</f>
        <v>4629</v>
      </c>
      <c r="KN63">
        <f>SUM(KN60:KN62)</f>
        <v>46</v>
      </c>
      <c r="KO63">
        <f>SUM(KO60:KO62)</f>
        <v>387</v>
      </c>
      <c r="KP63" s="3">
        <f t="shared" si="88"/>
        <v>389</v>
      </c>
      <c r="KQ63" s="3">
        <f t="shared" si="89"/>
        <v>7156</v>
      </c>
      <c r="KS63" s="5">
        <f t="shared" si="90"/>
        <v>5545</v>
      </c>
      <c r="KT63" s="5">
        <f t="shared" si="91"/>
        <v>44106</v>
      </c>
      <c r="KU63" s="10">
        <f t="shared" si="92"/>
        <v>7.9541929666366098</v>
      </c>
      <c r="KW63" s="5">
        <f t="shared" si="93"/>
        <v>136118</v>
      </c>
      <c r="KX63" s="5">
        <f t="shared" si="94"/>
        <v>950334</v>
      </c>
      <c r="KY63" s="10">
        <f t="shared" si="95"/>
        <v>6.9816923551624326</v>
      </c>
      <c r="LA63" s="15" t="s">
        <v>358</v>
      </c>
      <c r="LB63">
        <f>SUM(LB60:LB62)</f>
        <v>12705899</v>
      </c>
      <c r="LD63" s="11">
        <f t="shared" si="96"/>
        <v>10.712976704757374</v>
      </c>
      <c r="LE63" s="11">
        <f t="shared" si="97"/>
        <v>74.794707560637775</v>
      </c>
      <c r="LG6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telepit</dc:creator>
  <cp:lastModifiedBy>telepit</cp:lastModifiedBy>
  <dcterms:created xsi:type="dcterms:W3CDTF">2017-06-19T11:59:09Z</dcterms:created>
  <dcterms:modified xsi:type="dcterms:W3CDTF">2017-09-03T10:06:40Z</dcterms:modified>
</cp:coreProperties>
</file>