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800" windowHeight="10230" activeTab="0"/>
  </bookViews>
  <sheets>
    <sheet name="ipar" sheetId="1" r:id="rId1"/>
  </sheets>
  <definedNames>
    <definedName name="__123Graph_ACHART1" hidden="1">'ipar'!$I$2:$I$64</definedName>
    <definedName name="__123Graph_ACHART2" hidden="1">'ipar'!$AR$2:$AR$64</definedName>
    <definedName name="__123Graph_XCHART1" hidden="1">'ipar'!$B$2:$B$64</definedName>
    <definedName name="__123Graph_XCHART2" hidden="1">'ipar'!$B$2:$B$64</definedName>
    <definedName name="_Regression_X" hidden="1">'ipar'!$J$2:$J$64</definedName>
    <definedName name="_Regression_Y" hidden="1">'ipar'!$I$2:$I$64</definedName>
    <definedName name="_xlnm.Print_Area" localSheetId="0">'ipar'!$C$82:$S$85</definedName>
    <definedName name="Nyomtatási_terület_MÉ" localSheetId="0">'ipar'!$C$82:$S$85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W65" authorId="0">
      <text>
        <r>
          <rPr>
            <sz val="8"/>
            <rFont val="Tahoma"/>
            <family val="0"/>
          </rPr>
          <t>A képlet konvertálása nem sikerült</t>
        </r>
      </text>
    </comment>
    <comment ref="AY65" authorId="0">
      <text>
        <r>
          <rPr>
            <sz val="8"/>
            <rFont val="Tahoma"/>
            <family val="0"/>
          </rPr>
          <t>A képlet konvertálása nem sikerült</t>
        </r>
      </text>
    </comment>
  </commentList>
</comments>
</file>

<file path=xl/sharedStrings.xml><?xml version="1.0" encoding="utf-8"?>
<sst xmlns="http://schemas.openxmlformats.org/spreadsheetml/2006/main" count="180" uniqueCount="180">
  <si>
    <t>Önálló közlekedés</t>
  </si>
  <si>
    <t>Baranya</t>
  </si>
  <si>
    <t>Fejér</t>
  </si>
  <si>
    <t>Gyõr</t>
  </si>
  <si>
    <t>Komárom</t>
  </si>
  <si>
    <t>Moson</t>
  </si>
  <si>
    <t>Somogy</t>
  </si>
  <si>
    <t>Sopron</t>
  </si>
  <si>
    <t>Tolna</t>
  </si>
  <si>
    <t>Vas</t>
  </si>
  <si>
    <t>Veszprém</t>
  </si>
  <si>
    <t>Zala</t>
  </si>
  <si>
    <t>Árva</t>
  </si>
  <si>
    <t>Bars</t>
  </si>
  <si>
    <t>Esztergom</t>
  </si>
  <si>
    <t>Hont</t>
  </si>
  <si>
    <t>Liptó</t>
  </si>
  <si>
    <t>Nógrád</t>
  </si>
  <si>
    <t>Nyitra</t>
  </si>
  <si>
    <t>Pozsony</t>
  </si>
  <si>
    <t>Trencsén</t>
  </si>
  <si>
    <t>Turóc</t>
  </si>
  <si>
    <t>Zólyom</t>
  </si>
  <si>
    <t>Bács-Bodrog</t>
  </si>
  <si>
    <t>Csongrád</t>
  </si>
  <si>
    <t>Heves</t>
  </si>
  <si>
    <t>Jász-Nkun-Szolnok</t>
  </si>
  <si>
    <t>Pest(-Bp.)</t>
  </si>
  <si>
    <t>Abaúj-Torna</t>
  </si>
  <si>
    <t>Bereg</t>
  </si>
  <si>
    <t>Borsod</t>
  </si>
  <si>
    <t>Gömör</t>
  </si>
  <si>
    <t>Sáros</t>
  </si>
  <si>
    <t>Szepes</t>
  </si>
  <si>
    <t>Ung</t>
  </si>
  <si>
    <t>Zemplén</t>
  </si>
  <si>
    <t>Békés</t>
  </si>
  <si>
    <t>Bihar</t>
  </si>
  <si>
    <t>Hajdú</t>
  </si>
  <si>
    <t>Máramaros</t>
  </si>
  <si>
    <t>Szabolcs</t>
  </si>
  <si>
    <t>Szatmár</t>
  </si>
  <si>
    <t>Szilágy</t>
  </si>
  <si>
    <t>Ugocsa</t>
  </si>
  <si>
    <t>Arad</t>
  </si>
  <si>
    <t>Csanád</t>
  </si>
  <si>
    <t>Krassó-Szörény</t>
  </si>
  <si>
    <t>Temes</t>
  </si>
  <si>
    <t>Torontál</t>
  </si>
  <si>
    <t>Alsó-Fehér</t>
  </si>
  <si>
    <t>Beszterce-Naszód</t>
  </si>
  <si>
    <t>Brassó</t>
  </si>
  <si>
    <t>Csík</t>
  </si>
  <si>
    <t>Fogaras</t>
  </si>
  <si>
    <t>Háromszék</t>
  </si>
  <si>
    <t>Hunyad</t>
  </si>
  <si>
    <t>Kis-Küküllõ</t>
  </si>
  <si>
    <t>Kolozs</t>
  </si>
  <si>
    <t>Maros-Torda</t>
  </si>
  <si>
    <t>Nagy-Küküllõ</t>
  </si>
  <si>
    <t>Szeben</t>
  </si>
  <si>
    <t>Szolnok-Doboka</t>
  </si>
  <si>
    <t>Torda-Aranyos</t>
  </si>
  <si>
    <t>Udvarhely</t>
  </si>
  <si>
    <t>Budapest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</si>
  <si>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</si>
  <si>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</si>
  <si>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</si>
  <si>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</si>
  <si>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</si>
  <si>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</si>
  <si>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</si>
  <si>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</si>
  <si>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</si>
  <si>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</si>
  <si>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</si>
  <si>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</si>
  <si>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</si>
  <si>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</si>
  <si>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</si>
  <si>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</si>
  <si>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</si>
  <si>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</si>
  <si>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</si>
  <si>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</si>
  <si>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</si>
  <si>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</si>
  <si>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</si>
  <si>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</si>
  <si>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</si>
  <si>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</si>
  <si>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</si>
  <si>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</si>
  <si>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</si>
  <si>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</si>
  <si>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</si>
  <si>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</si>
  <si>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</si>
  <si>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</si>
  <si>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</si>
  <si>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</si>
  <si>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</si>
  <si>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</si>
  <si>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</si>
  <si>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</si>
  <si>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</si>
  <si>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</si>
  <si>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</si>
  <si>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</si>
  <si>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</si>
  <si>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</si>
  <si>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</si>
  <si>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</si>
  <si>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</si>
  <si>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</si>
  <si>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</si>
  <si>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</si>
  <si>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</si>
  <si>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</si>
  <si>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</si>
  <si>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</si>
  <si>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</si>
  <si>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</si>
  <si>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</si>
  <si>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</si>
  <si>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</si>
  <si>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</si>
  <si>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</si>
  <si>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Birtokos ír-olvas</t>
  </si>
  <si>
    <t>Birtokos analfabéta</t>
  </si>
  <si>
    <t>ebből 50 K feletti adó ir-olvas</t>
  </si>
  <si>
    <t>ebből 50 K feletti adó analfabéta</t>
  </si>
  <si>
    <t>ebből 50 K feletti adó összesen</t>
  </si>
  <si>
    <t>24 éven felüli ffi, 1910</t>
  </si>
  <si>
    <t>Önálló kereskedõ csak megye</t>
  </si>
  <si>
    <t>Önálló kereskedõ összesen</t>
  </si>
  <si>
    <t>Önálló kereskedõ város</t>
  </si>
  <si>
    <t>Önálló iparos megye</t>
  </si>
  <si>
    <t>Önálló iparos város</t>
  </si>
  <si>
    <t>Önálló iparos együtt</t>
  </si>
  <si>
    <t>Birtokos összes</t>
  </si>
  <si>
    <t>különbözet</t>
  </si>
  <si>
    <t>Önálló közlekedés megye</t>
  </si>
  <si>
    <t>Önálló közlekedés város</t>
  </si>
  <si>
    <t>Összes férfi, 24 év felett megye</t>
  </si>
  <si>
    <t>Összes férfi, 24 év felett város</t>
  </si>
  <si>
    <t>Összes férfi, 24 év felett város és megye</t>
  </si>
  <si>
    <t>Önálló iparos, ker. közl % város</t>
  </si>
  <si>
    <t>ebből 20 K fel adó megye</t>
  </si>
  <si>
    <t>ebből 20 K fel összesen</t>
  </si>
  <si>
    <t>ebből 20 K fel város</t>
  </si>
  <si>
    <t>ebből 20K fel adó megye</t>
  </si>
  <si>
    <t>ebből 20K fel adó város</t>
  </si>
  <si>
    <t>20K fel kereskedő, megye szaz</t>
  </si>
  <si>
    <t>20K fel kereskedő, város szaz</t>
  </si>
  <si>
    <t>20K fel adó közl város szaz</t>
  </si>
  <si>
    <t>20K fel adó közl megye szaz</t>
  </si>
  <si>
    <t>ebből 20 K fel közl adó megye</t>
  </si>
  <si>
    <t>ebből 20K fel adó ker közl ipar megye</t>
  </si>
  <si>
    <t>ebből 20K fel adó ker közl ipar város</t>
  </si>
  <si>
    <t>ebből 20K fel adó ker közl ipar város megye együtt</t>
  </si>
  <si>
    <t>20K felettiek szaz ipar ker közl megye</t>
  </si>
  <si>
    <t>20K fel adó ker közl város szaz</t>
  </si>
  <si>
    <t>Önálló iparos, ker. közl szaz megye</t>
  </si>
  <si>
    <t>20K fel adó ip ker közl az összesből</t>
  </si>
  <si>
    <t>Önálló ip ker közl az összesből szaz</t>
  </si>
  <si>
    <t>20 K feletti az összes ip ker közl szaz</t>
  </si>
  <si>
    <t>ebből 50Kfel adó szazalek</t>
  </si>
  <si>
    <t>ebből  birtokos ir-olvas  %</t>
  </si>
  <si>
    <t>ebből  50K fel ír olvas szazalek</t>
  </si>
  <si>
    <t>ebből  20K fel önálló adozó szaz megye</t>
  </si>
  <si>
    <t>20 K fel  iparosból megye es város szaz</t>
  </si>
  <si>
    <t>ebből 20K fel adó megye es város</t>
  </si>
  <si>
    <t>Ipar, keresk, közlekedés megye</t>
  </si>
  <si>
    <t>Ipar, keresk, közlekedés önálló város</t>
  </si>
  <si>
    <t>Ipar, keresk, közlekedés önálló együtt</t>
  </si>
  <si>
    <t>ebből 20K fel önálló adozó szaz város</t>
  </si>
  <si>
    <t>ebből 20K fel ker közl ipar város es megye szaz</t>
  </si>
  <si>
    <t>ebből 20 K fel adó közl megye es város</t>
  </si>
  <si>
    <t>ebből 20 K fel közl adó varos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</si>
</sst>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_)"/>
  </numFmts>
  <fonts count="44">
    <font>
      <sz val="10"/>
      <name val="Times New Roman CE"/>
      <family val="0"/>
    </font>
    <font>
      <sz val="12"/>
      <name val="Times New Roman"/>
      <family val="0"/>
    </font>
    <font>
      <b/>
      <sz val="10"/>
      <name val="Times New Roman CE"/>
      <family val="1"/>
    </font>
    <font>
      <i/>
      <sz val="10"/>
      <name val="Times New Roman CE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b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10"/>
      <color rgb="FFFF0000"/>
      <name val="Times New Roman CE"/>
      <family val="0"/>
    </font>
    <font>
      <b/>
      <sz val="8"/>
      <name val="Times New Roman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19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34" borderId="10" xfId="0" applyNumberFormat="1" applyFill="1" applyBorder="1" applyAlignment="1" applyProtection="1">
      <alignment/>
      <protection/>
    </xf>
    <xf numFmtId="164" fontId="0" fillId="19" borderId="10" xfId="0" applyNumberFormat="1" applyFill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164" fontId="0" fillId="35" borderId="10" xfId="0" applyNumberForma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164" fontId="41" fillId="0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19" borderId="1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68"/>
  <sheetViews>
    <sheetView tabSelected="1" defaultGridColor="0" zoomScale="87" zoomScaleNormal="87" zoomScalePageLayoutView="0" colorId="22" workbookViewId="0" topLeftCell="AW1">
      <selection activeCell="AY16" sqref="AY16"/>
    </sheetView>
  </sheetViews>
  <sheetFormatPr defaultColWidth="9.875" defaultRowHeight="12.75"/>
  <cols>
    <col min="1" max="1" width="5.875" style="1" bestFit="1" customWidth="1"/>
    <col min="2" max="2" width="24.00390625" style="4" bestFit="1" customWidth="1"/>
    <col min="3" max="3" width="18.00390625" style="4" bestFit="1" customWidth="1"/>
    <col min="4" max="4" width="20.50390625" style="4" bestFit="1" customWidth="1"/>
    <col min="5" max="5" width="16.625" style="4" bestFit="1" customWidth="1"/>
    <col min="6" max="6" width="30.00390625" style="4" bestFit="1" customWidth="1"/>
    <col min="7" max="7" width="32.625" style="4" bestFit="1" customWidth="1"/>
    <col min="8" max="8" width="30.875" style="4" bestFit="1" customWidth="1"/>
    <col min="9" max="9" width="29.625" style="4" bestFit="1" customWidth="1"/>
    <col min="10" max="10" width="28.50390625" style="4" bestFit="1" customWidth="1"/>
    <col min="11" max="11" width="33.125" style="4" bestFit="1" customWidth="1"/>
    <col min="12" max="12" width="11.625" style="4" bestFit="1" customWidth="1"/>
    <col min="13" max="13" width="20.625" style="5" bestFit="1" customWidth="1"/>
    <col min="14" max="14" width="19.50390625" style="5" bestFit="1" customWidth="1"/>
    <col min="15" max="15" width="20.625" style="5" bestFit="1" customWidth="1"/>
    <col min="16" max="16" width="25.375" style="5" bestFit="1" customWidth="1"/>
    <col min="17" max="17" width="20.375" style="5" bestFit="1" customWidth="1"/>
    <col min="18" max="18" width="23.50390625" style="5" bestFit="1" customWidth="1"/>
    <col min="19" max="19" width="52.00390625" style="5" bestFit="1" customWidth="1"/>
    <col min="20" max="20" width="28.875" style="25" bestFit="1" customWidth="1"/>
    <col min="21" max="21" width="23.125" style="25" bestFit="1" customWidth="1"/>
    <col min="22" max="22" width="26.625" style="25" bestFit="1" customWidth="1"/>
    <col min="23" max="23" width="24.50390625" style="25" bestFit="1" customWidth="1"/>
    <col min="24" max="24" width="23.50390625" style="25" bestFit="1" customWidth="1"/>
    <col min="25" max="25" width="36.375" style="25" bestFit="1" customWidth="1"/>
    <col min="26" max="26" width="30.625" style="25" bestFit="1" customWidth="1"/>
    <col min="27" max="27" width="29.625" style="25" bestFit="1" customWidth="1"/>
    <col min="28" max="28" width="25.375" style="1" bestFit="1" customWidth="1"/>
    <col min="29" max="29" width="24.125" style="1" bestFit="1" customWidth="1"/>
    <col min="30" max="30" width="18.375" style="1" bestFit="1" customWidth="1"/>
    <col min="31" max="31" width="30.00390625" style="1" bestFit="1" customWidth="1"/>
    <col min="32" max="32" width="23.125" style="1" bestFit="1" customWidth="1"/>
    <col min="33" max="33" width="28.875" style="1" bestFit="1" customWidth="1"/>
    <col min="34" max="34" width="28.50390625" style="1" bestFit="1" customWidth="1"/>
    <col min="35" max="35" width="27.50390625" style="1" bestFit="1" customWidth="1"/>
    <col min="36" max="36" width="37.375" style="24" bestFit="1" customWidth="1"/>
    <col min="37" max="37" width="42.625" style="24" bestFit="1" customWidth="1"/>
    <col min="38" max="38" width="43.625" style="24" bestFit="1" customWidth="1"/>
    <col min="39" max="39" width="37.375" style="24" bestFit="1" customWidth="1"/>
    <col min="40" max="40" width="36.375" style="24" bestFit="1" customWidth="1"/>
    <col min="41" max="41" width="50.00390625" style="24" bestFit="1" customWidth="1"/>
    <col min="42" max="42" width="37.875" style="24" bestFit="1" customWidth="1"/>
    <col min="43" max="43" width="31.125" style="24" bestFit="1" customWidth="1"/>
    <col min="44" max="44" width="48.50390625" style="24" bestFit="1" customWidth="1"/>
    <col min="45" max="45" width="31.125" style="10" bestFit="1" customWidth="1"/>
    <col min="46" max="46" width="30.125" style="10" bestFit="1" customWidth="1"/>
    <col min="47" max="47" width="39.625" style="10" bestFit="1" customWidth="1"/>
    <col min="48" max="48" width="35.125" style="10" bestFit="1" customWidth="1"/>
    <col min="49" max="49" width="31.875" style="10" bestFit="1" customWidth="1"/>
    <col min="50" max="50" width="39.50390625" style="10" bestFit="1" customWidth="1"/>
    <col min="51" max="51" width="38.375" style="10" bestFit="1" customWidth="1"/>
    <col min="52" max="52" width="36.00390625" style="10" bestFit="1" customWidth="1"/>
    <col min="53" max="53" width="35.875" style="10" bestFit="1" customWidth="1"/>
    <col min="54" max="54" width="37.50390625" style="11" bestFit="1" customWidth="1"/>
    <col min="55" max="16384" width="9.875" style="11" customWidth="1"/>
  </cols>
  <sheetData>
    <row r="1" spans="2:54" ht="12.75">
      <c r="B1" s="2" t="s">
        <v>133</v>
      </c>
      <c r="C1" s="3" t="s">
        <v>128</v>
      </c>
      <c r="D1" s="3" t="s">
        <v>129</v>
      </c>
      <c r="E1" s="3" t="s">
        <v>140</v>
      </c>
      <c r="F1" s="3" t="s">
        <v>130</v>
      </c>
      <c r="G1" s="3" t="s">
        <v>131</v>
      </c>
      <c r="H1" s="3" t="s">
        <v>132</v>
      </c>
      <c r="I1" s="4" t="s">
        <v>167</v>
      </c>
      <c r="J1" s="4" t="s">
        <v>168</v>
      </c>
      <c r="K1" s="4" t="s">
        <v>169</v>
      </c>
      <c r="L1" s="4" t="s">
        <v>141</v>
      </c>
      <c r="M1" s="5" t="s">
        <v>137</v>
      </c>
      <c r="N1" s="5" t="s">
        <v>138</v>
      </c>
      <c r="O1" s="5" t="s">
        <v>139</v>
      </c>
      <c r="P1" s="5" t="s">
        <v>148</v>
      </c>
      <c r="Q1" s="5" t="s">
        <v>150</v>
      </c>
      <c r="R1" s="5" t="s">
        <v>149</v>
      </c>
      <c r="S1" s="5" t="s">
        <v>171</v>
      </c>
      <c r="T1" s="6" t="s">
        <v>134</v>
      </c>
      <c r="U1" s="6" t="s">
        <v>136</v>
      </c>
      <c r="V1" s="6" t="s">
        <v>135</v>
      </c>
      <c r="W1" s="6" t="s">
        <v>151</v>
      </c>
      <c r="X1" s="6" t="s">
        <v>152</v>
      </c>
      <c r="Y1" s="6" t="s">
        <v>172</v>
      </c>
      <c r="Z1" s="6" t="s">
        <v>153</v>
      </c>
      <c r="AA1" s="6" t="s">
        <v>154</v>
      </c>
      <c r="AB1" s="7" t="s">
        <v>142</v>
      </c>
      <c r="AC1" s="7" t="s">
        <v>143</v>
      </c>
      <c r="AD1" s="7" t="s">
        <v>0</v>
      </c>
      <c r="AE1" s="7" t="s">
        <v>157</v>
      </c>
      <c r="AF1" s="7" t="s">
        <v>179</v>
      </c>
      <c r="AG1" s="7" t="s">
        <v>178</v>
      </c>
      <c r="AH1" s="7" t="s">
        <v>156</v>
      </c>
      <c r="AI1" s="7" t="s">
        <v>155</v>
      </c>
      <c r="AJ1" s="8" t="s">
        <v>173</v>
      </c>
      <c r="AK1" s="8" t="s">
        <v>174</v>
      </c>
      <c r="AL1" s="8" t="s">
        <v>175</v>
      </c>
      <c r="AM1" s="8" t="s">
        <v>158</v>
      </c>
      <c r="AN1" s="8" t="s">
        <v>159</v>
      </c>
      <c r="AO1" s="8" t="s">
        <v>160</v>
      </c>
      <c r="AP1" s="9" t="s">
        <v>161</v>
      </c>
      <c r="AQ1" s="9" t="s">
        <v>162</v>
      </c>
      <c r="AR1" s="9" t="s">
        <v>177</v>
      </c>
      <c r="AS1" s="10" t="s">
        <v>144</v>
      </c>
      <c r="AT1" s="10" t="s">
        <v>145</v>
      </c>
      <c r="AU1" s="10" t="s">
        <v>146</v>
      </c>
      <c r="AV1" s="10" t="s">
        <v>163</v>
      </c>
      <c r="AW1" s="10" t="s">
        <v>147</v>
      </c>
      <c r="AX1" s="10" t="s">
        <v>170</v>
      </c>
      <c r="AY1" s="10" t="s">
        <v>176</v>
      </c>
      <c r="AZ1" s="10" t="s">
        <v>165</v>
      </c>
      <c r="BA1" s="10" t="s">
        <v>164</v>
      </c>
      <c r="BB1" s="10" t="s">
        <v>166</v>
      </c>
    </row>
    <row r="2" spans="1:54" ht="12.75">
      <c r="A2" s="1" t="s">
        <v>65</v>
      </c>
      <c r="B2" s="12" t="s">
        <v>1</v>
      </c>
      <c r="C2" s="4">
        <f>25092+113</f>
        <v>25205</v>
      </c>
      <c r="D2" s="4">
        <v>4185</v>
      </c>
      <c r="E2" s="4">
        <f aca="true" t="shared" si="0" ref="E2:E33">C2+D2</f>
        <v>29390</v>
      </c>
      <c r="F2" s="4">
        <v>4958</v>
      </c>
      <c r="G2" s="4">
        <v>481</v>
      </c>
      <c r="H2" s="4">
        <f aca="true" t="shared" si="1" ref="H2:H33">F2+G2</f>
        <v>5439</v>
      </c>
      <c r="I2" s="13">
        <f aca="true" t="shared" si="2" ref="I2:I33">H2/E2*100</f>
        <v>18.506294658046954</v>
      </c>
      <c r="J2" s="13">
        <f aca="true" t="shared" si="3" ref="J2:J33">C2/E2*100</f>
        <v>85.7604627424294</v>
      </c>
      <c r="K2" s="13">
        <f aca="true" t="shared" si="4" ref="K2:K33">F2/H2*100</f>
        <v>91.15646258503402</v>
      </c>
      <c r="L2" s="13">
        <f>K2-J2</f>
        <v>5.395999842604624</v>
      </c>
      <c r="M2" s="5">
        <v>7887</v>
      </c>
      <c r="N2" s="5">
        <v>1155</v>
      </c>
      <c r="O2" s="5">
        <f>M2+N2</f>
        <v>9042</v>
      </c>
      <c r="P2" s="5">
        <f>2619+7</f>
        <v>2626</v>
      </c>
      <c r="Q2" s="5">
        <f>775+5</f>
        <v>780</v>
      </c>
      <c r="R2" s="5">
        <f>P2+Q2</f>
        <v>3406</v>
      </c>
      <c r="S2" s="14">
        <f>R2/O2*100</f>
        <v>37.668657376686575</v>
      </c>
      <c r="T2" s="6">
        <v>1107</v>
      </c>
      <c r="U2" s="6">
        <v>513</v>
      </c>
      <c r="V2" s="6">
        <f>T2+U2</f>
        <v>1620</v>
      </c>
      <c r="W2" s="6">
        <v>766</v>
      </c>
      <c r="X2" s="6">
        <v>344</v>
      </c>
      <c r="Y2" s="6">
        <f>W2+X2</f>
        <v>1110</v>
      </c>
      <c r="Z2" s="15">
        <f aca="true" t="shared" si="5" ref="Z2:Z29">W2/T2*100</f>
        <v>69.19602529358627</v>
      </c>
      <c r="AA2" s="15">
        <f aca="true" t="shared" si="6" ref="AA2:AA29">X2/U2*100</f>
        <v>67.05653021442495</v>
      </c>
      <c r="AB2" s="7">
        <v>228</v>
      </c>
      <c r="AC2" s="7">
        <v>192</v>
      </c>
      <c r="AD2" s="7">
        <f>AB2+AC2</f>
        <v>420</v>
      </c>
      <c r="AE2" s="7">
        <v>70</v>
      </c>
      <c r="AF2" s="7">
        <v>132</v>
      </c>
      <c r="AG2" s="7">
        <f>AE2+AF2</f>
        <v>202</v>
      </c>
      <c r="AH2" s="16">
        <f aca="true" t="shared" si="7" ref="AH2:AH33">AE2/AB2*100</f>
        <v>30.701754385964914</v>
      </c>
      <c r="AI2" s="16">
        <f aca="true" t="shared" si="8" ref="AI2:AI33">AF2/AC2*100</f>
        <v>68.75</v>
      </c>
      <c r="AJ2" s="8">
        <f aca="true" t="shared" si="9" ref="AJ2:AJ33">M2+T2+AB2</f>
        <v>9222</v>
      </c>
      <c r="AK2" s="8">
        <f aca="true" t="shared" si="10" ref="AK2:AK33">N2+U2+AC2</f>
        <v>1860</v>
      </c>
      <c r="AL2" s="8">
        <f aca="true" t="shared" si="11" ref="AL2:AL33">AJ2+AK2</f>
        <v>11082</v>
      </c>
      <c r="AM2" s="8">
        <f aca="true" t="shared" si="12" ref="AM2:AM33">P2+W2+AE2</f>
        <v>3462</v>
      </c>
      <c r="AN2" s="8">
        <f aca="true" t="shared" si="13" ref="AN2:AN33">Q2+X2+AF2</f>
        <v>1256</v>
      </c>
      <c r="AO2" s="8">
        <f aca="true" t="shared" si="14" ref="AO2:AO33">AM2+AN2</f>
        <v>4718</v>
      </c>
      <c r="AP2" s="17">
        <f>AM2/AJ2*100</f>
        <v>37.540663630448925</v>
      </c>
      <c r="AQ2" s="17">
        <f>AN2/AK2*100</f>
        <v>67.52688172043011</v>
      </c>
      <c r="AR2" s="17">
        <f aca="true" t="shared" si="15" ref="AR2:AR33">AO2/AL2*100</f>
        <v>42.57354268182639</v>
      </c>
      <c r="AS2" s="18">
        <v>84952</v>
      </c>
      <c r="AT2" s="18">
        <v>11607</v>
      </c>
      <c r="AU2" s="18">
        <f aca="true" t="shared" si="16" ref="AU2:AU33">AS2+AT2</f>
        <v>96559</v>
      </c>
      <c r="AV2" s="19">
        <f aca="true" t="shared" si="17" ref="AV2:AV33">AJ2/AS2*100</f>
        <v>10.855541953102929</v>
      </c>
      <c r="AW2" s="19">
        <f>AK2/AT2*100</f>
        <v>16.024812613078314</v>
      </c>
      <c r="AX2" s="19">
        <f>AM2/AS2*100</f>
        <v>4.075242489876636</v>
      </c>
      <c r="AY2" s="19">
        <f aca="true" t="shared" si="18" ref="AY2:AY33">AN2/AT2*100</f>
        <v>10.82105625915396</v>
      </c>
      <c r="AZ2" s="19">
        <f aca="true" t="shared" si="19" ref="AZ2:AZ33">AL2/AU2*100</f>
        <v>11.476920846321939</v>
      </c>
      <c r="BA2" s="19">
        <f>AO2/AU2*100</f>
        <v>4.8861317950683</v>
      </c>
      <c r="BB2" s="11">
        <f>BA2/AZ2*100</f>
        <v>42.57354268182638</v>
      </c>
    </row>
    <row r="3" spans="1:54" ht="12.75">
      <c r="A3" s="1" t="s">
        <v>66</v>
      </c>
      <c r="B3" s="12" t="s">
        <v>2</v>
      </c>
      <c r="C3" s="4">
        <f>10965+690</f>
        <v>11655</v>
      </c>
      <c r="D3" s="4">
        <v>900</v>
      </c>
      <c r="E3" s="4">
        <f t="shared" si="0"/>
        <v>12555</v>
      </c>
      <c r="F3" s="4">
        <v>2614</v>
      </c>
      <c r="G3" s="4">
        <v>77</v>
      </c>
      <c r="H3" s="4">
        <f t="shared" si="1"/>
        <v>2691</v>
      </c>
      <c r="I3" s="13">
        <f t="shared" si="2"/>
        <v>21.433691756272403</v>
      </c>
      <c r="J3" s="13">
        <f t="shared" si="3"/>
        <v>92.831541218638</v>
      </c>
      <c r="K3" s="13">
        <f t="shared" si="4"/>
        <v>97.13861018208844</v>
      </c>
      <c r="L3" s="13">
        <f aca="true" t="shared" si="20" ref="L3:L64">K3-J3</f>
        <v>4.3070689634504475</v>
      </c>
      <c r="M3" s="5">
        <v>3749</v>
      </c>
      <c r="N3" s="5">
        <v>914</v>
      </c>
      <c r="O3" s="5">
        <f aca="true" t="shared" si="21" ref="O3:O66">M3+N3</f>
        <v>4663</v>
      </c>
      <c r="P3" s="5">
        <f>1272+2</f>
        <v>1274</v>
      </c>
      <c r="Q3" s="5">
        <v>578</v>
      </c>
      <c r="R3" s="5">
        <f aca="true" t="shared" si="22" ref="R3:R66">P3+Q3</f>
        <v>1852</v>
      </c>
      <c r="S3" s="14">
        <f aca="true" t="shared" si="23" ref="S3:S66">R3/O3*100</f>
        <v>39.7169204374866</v>
      </c>
      <c r="T3" s="6">
        <v>774</v>
      </c>
      <c r="U3" s="6">
        <v>346</v>
      </c>
      <c r="V3" s="6">
        <f aca="true" t="shared" si="24" ref="V3:V66">T3+U3</f>
        <v>1120</v>
      </c>
      <c r="W3" s="6">
        <v>547</v>
      </c>
      <c r="X3" s="6">
        <v>258</v>
      </c>
      <c r="Y3" s="6">
        <f aca="true" t="shared" si="25" ref="Y3:Y66">W3+X3</f>
        <v>805</v>
      </c>
      <c r="Z3" s="15">
        <f t="shared" si="5"/>
        <v>70.67183462532299</v>
      </c>
      <c r="AA3" s="15">
        <f t="shared" si="6"/>
        <v>74.56647398843931</v>
      </c>
      <c r="AB3" s="7">
        <v>83</v>
      </c>
      <c r="AC3" s="7">
        <v>89</v>
      </c>
      <c r="AD3" s="7">
        <f aca="true" t="shared" si="26" ref="AD3:AD66">AB3+AC3</f>
        <v>172</v>
      </c>
      <c r="AE3" s="7">
        <v>26</v>
      </c>
      <c r="AF3" s="7">
        <v>44</v>
      </c>
      <c r="AG3" s="7">
        <f aca="true" t="shared" si="27" ref="AG3:AG66">AE3+AF3</f>
        <v>70</v>
      </c>
      <c r="AH3" s="16">
        <f t="shared" si="7"/>
        <v>31.32530120481928</v>
      </c>
      <c r="AI3" s="16">
        <f t="shared" si="8"/>
        <v>49.43820224719101</v>
      </c>
      <c r="AJ3" s="8">
        <f t="shared" si="9"/>
        <v>4606</v>
      </c>
      <c r="AK3" s="8">
        <f t="shared" si="10"/>
        <v>1349</v>
      </c>
      <c r="AL3" s="8">
        <f t="shared" si="11"/>
        <v>5955</v>
      </c>
      <c r="AM3" s="8">
        <f t="shared" si="12"/>
        <v>1847</v>
      </c>
      <c r="AN3" s="8">
        <f t="shared" si="13"/>
        <v>880</v>
      </c>
      <c r="AO3" s="8">
        <f t="shared" si="14"/>
        <v>2727</v>
      </c>
      <c r="AP3" s="17">
        <f aca="true" t="shared" si="28" ref="AP3:AP33">AM3/AJ3*100</f>
        <v>40.099869735128095</v>
      </c>
      <c r="AQ3" s="17">
        <f aca="true" t="shared" si="29" ref="AQ3:AQ33">AN3/AK3*100</f>
        <v>65.23350630096367</v>
      </c>
      <c r="AR3" s="17">
        <f t="shared" si="15"/>
        <v>45.79345088161209</v>
      </c>
      <c r="AS3" s="18">
        <v>51988</v>
      </c>
      <c r="AT3" s="18">
        <v>7757</v>
      </c>
      <c r="AU3" s="18">
        <f t="shared" si="16"/>
        <v>59745</v>
      </c>
      <c r="AV3" s="19">
        <f t="shared" si="17"/>
        <v>8.85973686235285</v>
      </c>
      <c r="AW3" s="19">
        <f aca="true" t="shared" si="30" ref="AW2:AW33">AK3/AT3*100</f>
        <v>17.390743844269693</v>
      </c>
      <c r="AX3" s="19">
        <f aca="true" t="shared" si="31" ref="AX2:AX33">AM3/AS3*100</f>
        <v>3.552742940678618</v>
      </c>
      <c r="AY3" s="19">
        <f t="shared" si="18"/>
        <v>11.344591981436123</v>
      </c>
      <c r="AZ3" s="19">
        <f t="shared" si="19"/>
        <v>9.96736128546322</v>
      </c>
      <c r="BA3" s="19">
        <f aca="true" t="shared" si="32" ref="BA2:BA33">AO3/AU3*100</f>
        <v>4.564398694451419</v>
      </c>
      <c r="BB3" s="11">
        <f aca="true" t="shared" si="33" ref="BB3:BB66">BA3/AZ3*100</f>
        <v>45.79345088161209</v>
      </c>
    </row>
    <row r="4" spans="1:54" ht="12.75">
      <c r="A4" s="1" t="s">
        <v>67</v>
      </c>
      <c r="B4" s="12" t="s">
        <v>3</v>
      </c>
      <c r="C4" s="4">
        <v>5994</v>
      </c>
      <c r="D4" s="4">
        <v>440</v>
      </c>
      <c r="E4" s="4">
        <f t="shared" si="0"/>
        <v>6434</v>
      </c>
      <c r="F4" s="4">
        <v>1140</v>
      </c>
      <c r="G4" s="4">
        <v>12</v>
      </c>
      <c r="H4" s="4">
        <f t="shared" si="1"/>
        <v>1152</v>
      </c>
      <c r="I4" s="13">
        <f t="shared" si="2"/>
        <v>17.904880323282562</v>
      </c>
      <c r="J4" s="13">
        <f t="shared" si="3"/>
        <v>93.16133043207958</v>
      </c>
      <c r="K4" s="13">
        <f t="shared" si="4"/>
        <v>98.95833333333334</v>
      </c>
      <c r="L4" s="13">
        <f t="shared" si="20"/>
        <v>5.797002901253762</v>
      </c>
      <c r="M4" s="5">
        <v>1376</v>
      </c>
      <c r="N4" s="5">
        <v>1176</v>
      </c>
      <c r="O4" s="5">
        <f t="shared" si="21"/>
        <v>2552</v>
      </c>
      <c r="P4" s="5">
        <f>400+2</f>
        <v>402</v>
      </c>
      <c r="Q4" s="5">
        <f>853+1</f>
        <v>854</v>
      </c>
      <c r="R4" s="5">
        <f t="shared" si="22"/>
        <v>1256</v>
      </c>
      <c r="S4" s="14">
        <f t="shared" si="23"/>
        <v>49.21630094043887</v>
      </c>
      <c r="T4" s="6">
        <v>196</v>
      </c>
      <c r="U4" s="6">
        <v>526</v>
      </c>
      <c r="V4" s="6">
        <f t="shared" si="24"/>
        <v>722</v>
      </c>
      <c r="W4" s="6">
        <v>134</v>
      </c>
      <c r="X4" s="6">
        <v>429</v>
      </c>
      <c r="Y4" s="6">
        <f t="shared" si="25"/>
        <v>563</v>
      </c>
      <c r="Z4" s="15">
        <f t="shared" si="5"/>
        <v>68.36734693877551</v>
      </c>
      <c r="AA4" s="15">
        <f t="shared" si="6"/>
        <v>81.55893536121674</v>
      </c>
      <c r="AB4" s="7">
        <v>19</v>
      </c>
      <c r="AC4" s="7">
        <v>82</v>
      </c>
      <c r="AD4" s="7">
        <f t="shared" si="26"/>
        <v>101</v>
      </c>
      <c r="AE4" s="7">
        <v>5</v>
      </c>
      <c r="AF4" s="7">
        <v>66</v>
      </c>
      <c r="AG4" s="7">
        <f t="shared" si="27"/>
        <v>71</v>
      </c>
      <c r="AH4" s="16">
        <f t="shared" si="7"/>
        <v>26.31578947368421</v>
      </c>
      <c r="AI4" s="16">
        <f t="shared" si="8"/>
        <v>80.48780487804879</v>
      </c>
      <c r="AJ4" s="8">
        <f t="shared" si="9"/>
        <v>1591</v>
      </c>
      <c r="AK4" s="8">
        <f t="shared" si="10"/>
        <v>1784</v>
      </c>
      <c r="AL4" s="8">
        <f t="shared" si="11"/>
        <v>3375</v>
      </c>
      <c r="AM4" s="8">
        <f t="shared" si="12"/>
        <v>541</v>
      </c>
      <c r="AN4" s="8">
        <f t="shared" si="13"/>
        <v>1349</v>
      </c>
      <c r="AO4" s="8">
        <f t="shared" si="14"/>
        <v>1890</v>
      </c>
      <c r="AP4" s="17">
        <f t="shared" si="28"/>
        <v>34.003771213073534</v>
      </c>
      <c r="AQ4" s="17">
        <f t="shared" si="29"/>
        <v>75.61659192825113</v>
      </c>
      <c r="AR4" s="17">
        <f t="shared" si="15"/>
        <v>56.00000000000001</v>
      </c>
      <c r="AS4" s="18">
        <v>24077</v>
      </c>
      <c r="AT4" s="18">
        <v>9263</v>
      </c>
      <c r="AU4" s="18">
        <f t="shared" si="16"/>
        <v>33340</v>
      </c>
      <c r="AV4" s="19">
        <f t="shared" si="17"/>
        <v>6.607966108734477</v>
      </c>
      <c r="AW4" s="19">
        <f t="shared" si="30"/>
        <v>19.259419194645364</v>
      </c>
      <c r="AX4" s="19">
        <f t="shared" si="31"/>
        <v>2.2469576774515096</v>
      </c>
      <c r="AY4" s="19">
        <f t="shared" si="18"/>
        <v>14.563316420166252</v>
      </c>
      <c r="AZ4" s="19">
        <f t="shared" si="19"/>
        <v>10.122975404919016</v>
      </c>
      <c r="BA4" s="19">
        <f t="shared" si="32"/>
        <v>5.668866226754649</v>
      </c>
      <c r="BB4" s="11">
        <f t="shared" si="33"/>
        <v>56.00000000000001</v>
      </c>
    </row>
    <row r="5" spans="1:54" ht="12.75">
      <c r="A5" s="1" t="s">
        <v>68</v>
      </c>
      <c r="B5" s="12" t="s">
        <v>4</v>
      </c>
      <c r="C5" s="4">
        <v>10145</v>
      </c>
      <c r="D5" s="4">
        <v>572</v>
      </c>
      <c r="E5" s="4">
        <f t="shared" si="0"/>
        <v>10717</v>
      </c>
      <c r="F5" s="4">
        <v>1781</v>
      </c>
      <c r="G5" s="4">
        <v>35</v>
      </c>
      <c r="H5" s="4">
        <f t="shared" si="1"/>
        <v>1816</v>
      </c>
      <c r="I5" s="13">
        <f t="shared" si="2"/>
        <v>16.945040589717273</v>
      </c>
      <c r="J5" s="13">
        <f t="shared" si="3"/>
        <v>94.66268545301857</v>
      </c>
      <c r="K5" s="13">
        <f t="shared" si="4"/>
        <v>98.07268722466961</v>
      </c>
      <c r="L5" s="13">
        <f t="shared" si="20"/>
        <v>3.4100017716510393</v>
      </c>
      <c r="M5" s="5">
        <v>2852</v>
      </c>
      <c r="N5" s="5">
        <v>626</v>
      </c>
      <c r="O5" s="5">
        <f t="shared" si="21"/>
        <v>3478</v>
      </c>
      <c r="P5" s="5">
        <v>859</v>
      </c>
      <c r="Q5" s="5">
        <f>386+3</f>
        <v>389</v>
      </c>
      <c r="R5" s="5">
        <f t="shared" si="22"/>
        <v>1248</v>
      </c>
      <c r="S5" s="14">
        <f t="shared" si="23"/>
        <v>35.88269120184014</v>
      </c>
      <c r="T5" s="6">
        <v>537</v>
      </c>
      <c r="U5" s="6">
        <v>231</v>
      </c>
      <c r="V5" s="6">
        <f t="shared" si="24"/>
        <v>768</v>
      </c>
      <c r="W5" s="6">
        <v>365</v>
      </c>
      <c r="X5" s="6">
        <v>192</v>
      </c>
      <c r="Y5" s="6">
        <f t="shared" si="25"/>
        <v>557</v>
      </c>
      <c r="Z5" s="15">
        <f t="shared" si="5"/>
        <v>67.97020484171323</v>
      </c>
      <c r="AA5" s="15">
        <f t="shared" si="6"/>
        <v>83.11688311688312</v>
      </c>
      <c r="AB5" s="7">
        <v>69</v>
      </c>
      <c r="AC5" s="7">
        <v>84</v>
      </c>
      <c r="AD5" s="7">
        <f t="shared" si="26"/>
        <v>153</v>
      </c>
      <c r="AE5" s="7">
        <v>21</v>
      </c>
      <c r="AF5" s="7">
        <v>58</v>
      </c>
      <c r="AG5" s="7">
        <f t="shared" si="27"/>
        <v>79</v>
      </c>
      <c r="AH5" s="16">
        <f t="shared" si="7"/>
        <v>30.434782608695656</v>
      </c>
      <c r="AI5" s="16">
        <f t="shared" si="8"/>
        <v>69.04761904761905</v>
      </c>
      <c r="AJ5" s="8">
        <f t="shared" si="9"/>
        <v>3458</v>
      </c>
      <c r="AK5" s="8">
        <f t="shared" si="10"/>
        <v>941</v>
      </c>
      <c r="AL5" s="8">
        <f t="shared" si="11"/>
        <v>4399</v>
      </c>
      <c r="AM5" s="8">
        <f t="shared" si="12"/>
        <v>1245</v>
      </c>
      <c r="AN5" s="8">
        <f t="shared" si="13"/>
        <v>639</v>
      </c>
      <c r="AO5" s="8">
        <f t="shared" si="14"/>
        <v>1884</v>
      </c>
      <c r="AP5" s="17">
        <f t="shared" si="28"/>
        <v>36.00347021399653</v>
      </c>
      <c r="AQ5" s="17">
        <f t="shared" si="29"/>
        <v>67.90648246546228</v>
      </c>
      <c r="AR5" s="17">
        <f t="shared" si="15"/>
        <v>42.82791543532621</v>
      </c>
      <c r="AS5" s="18">
        <v>42116</v>
      </c>
      <c r="AT5" s="18">
        <v>4150</v>
      </c>
      <c r="AU5" s="18">
        <f t="shared" si="16"/>
        <v>46266</v>
      </c>
      <c r="AV5" s="19">
        <f t="shared" si="17"/>
        <v>8.210656282647925</v>
      </c>
      <c r="AW5" s="19">
        <f t="shared" si="30"/>
        <v>22.674698795180724</v>
      </c>
      <c r="AX5" s="19">
        <f t="shared" si="31"/>
        <v>2.9561211890967805</v>
      </c>
      <c r="AY5" s="19">
        <f t="shared" si="18"/>
        <v>15.397590361445785</v>
      </c>
      <c r="AZ5" s="19">
        <f t="shared" si="19"/>
        <v>9.508062075822417</v>
      </c>
      <c r="BA5" s="19">
        <f t="shared" si="32"/>
        <v>4.072104785371547</v>
      </c>
      <c r="BB5" s="11">
        <f t="shared" si="33"/>
        <v>42.82791543532621</v>
      </c>
    </row>
    <row r="6" spans="1:54" ht="12.75">
      <c r="A6" s="1" t="s">
        <v>69</v>
      </c>
      <c r="B6" s="12" t="s">
        <v>5</v>
      </c>
      <c r="C6" s="4">
        <v>5593</v>
      </c>
      <c r="D6" s="4">
        <v>117</v>
      </c>
      <c r="E6" s="4">
        <f t="shared" si="0"/>
        <v>5710</v>
      </c>
      <c r="F6" s="4">
        <v>2634</v>
      </c>
      <c r="G6" s="4">
        <v>14</v>
      </c>
      <c r="H6" s="4">
        <f t="shared" si="1"/>
        <v>2648</v>
      </c>
      <c r="I6" s="13">
        <f t="shared" si="2"/>
        <v>46.37478108581436</v>
      </c>
      <c r="J6" s="13">
        <f t="shared" si="3"/>
        <v>97.9509632224168</v>
      </c>
      <c r="K6" s="13">
        <f t="shared" si="4"/>
        <v>99.47129909365559</v>
      </c>
      <c r="L6" s="13">
        <f t="shared" si="20"/>
        <v>1.5203358712387853</v>
      </c>
      <c r="M6" s="5">
        <v>1894</v>
      </c>
      <c r="O6" s="5">
        <f t="shared" si="21"/>
        <v>1894</v>
      </c>
      <c r="P6" s="5">
        <v>812</v>
      </c>
      <c r="R6" s="5">
        <f t="shared" si="22"/>
        <v>812</v>
      </c>
      <c r="S6" s="14">
        <f t="shared" si="23"/>
        <v>42.87222808870116</v>
      </c>
      <c r="T6" s="6">
        <v>511</v>
      </c>
      <c r="U6" s="6"/>
      <c r="V6" s="6">
        <f t="shared" si="24"/>
        <v>511</v>
      </c>
      <c r="W6" s="6">
        <v>332</v>
      </c>
      <c r="X6" s="6"/>
      <c r="Y6" s="6">
        <f t="shared" si="25"/>
        <v>332</v>
      </c>
      <c r="Z6" s="15">
        <f t="shared" si="5"/>
        <v>64.9706457925636</v>
      </c>
      <c r="AA6" s="15" t="e">
        <f t="shared" si="6"/>
        <v>#DIV/0!</v>
      </c>
      <c r="AB6" s="7">
        <v>44</v>
      </c>
      <c r="AC6" s="7"/>
      <c r="AD6" s="7">
        <f t="shared" si="26"/>
        <v>44</v>
      </c>
      <c r="AE6" s="7">
        <v>26</v>
      </c>
      <c r="AF6" s="7"/>
      <c r="AG6" s="7">
        <f t="shared" si="27"/>
        <v>26</v>
      </c>
      <c r="AH6" s="16">
        <f t="shared" si="7"/>
        <v>59.09090909090909</v>
      </c>
      <c r="AI6" s="16" t="e">
        <f t="shared" si="8"/>
        <v>#DIV/0!</v>
      </c>
      <c r="AJ6" s="8">
        <f t="shared" si="9"/>
        <v>2449</v>
      </c>
      <c r="AK6" s="8">
        <f t="shared" si="10"/>
        <v>0</v>
      </c>
      <c r="AL6" s="8">
        <f t="shared" si="11"/>
        <v>2449</v>
      </c>
      <c r="AM6" s="8">
        <f t="shared" si="12"/>
        <v>1170</v>
      </c>
      <c r="AN6" s="8">
        <f t="shared" si="13"/>
        <v>0</v>
      </c>
      <c r="AO6" s="8">
        <f t="shared" si="14"/>
        <v>1170</v>
      </c>
      <c r="AP6" s="17">
        <f t="shared" si="28"/>
        <v>47.77460187831768</v>
      </c>
      <c r="AQ6" s="17" t="e">
        <f t="shared" si="29"/>
        <v>#DIV/0!</v>
      </c>
      <c r="AR6" s="17">
        <f t="shared" si="15"/>
        <v>47.77460187831768</v>
      </c>
      <c r="AS6" s="18">
        <v>22338</v>
      </c>
      <c r="AT6" s="18"/>
      <c r="AU6" s="18">
        <f t="shared" si="16"/>
        <v>22338</v>
      </c>
      <c r="AV6" s="19">
        <f t="shared" si="17"/>
        <v>10.963380786104397</v>
      </c>
      <c r="AW6" s="19" t="e">
        <f t="shared" si="30"/>
        <v>#DIV/0!</v>
      </c>
      <c r="AX6" s="19">
        <f t="shared" si="31"/>
        <v>5.237711522965351</v>
      </c>
      <c r="AY6" s="19" t="e">
        <f t="shared" si="18"/>
        <v>#DIV/0!</v>
      </c>
      <c r="AZ6" s="19">
        <f t="shared" si="19"/>
        <v>10.963380786104397</v>
      </c>
      <c r="BA6" s="19">
        <f t="shared" si="32"/>
        <v>5.237711522965351</v>
      </c>
      <c r="BB6" s="11">
        <f t="shared" si="33"/>
        <v>47.77460187831768</v>
      </c>
    </row>
    <row r="7" spans="1:54" ht="12.75">
      <c r="A7" s="1" t="s">
        <v>70</v>
      </c>
      <c r="B7" s="12" t="s">
        <v>6</v>
      </c>
      <c r="C7" s="4">
        <v>25658</v>
      </c>
      <c r="D7" s="4">
        <v>3450</v>
      </c>
      <c r="E7" s="4">
        <f t="shared" si="0"/>
        <v>29108</v>
      </c>
      <c r="F7" s="4">
        <v>2380</v>
      </c>
      <c r="G7" s="4">
        <v>152</v>
      </c>
      <c r="H7" s="4">
        <f t="shared" si="1"/>
        <v>2532</v>
      </c>
      <c r="I7" s="13">
        <f t="shared" si="2"/>
        <v>8.698639549264806</v>
      </c>
      <c r="J7" s="13">
        <f t="shared" si="3"/>
        <v>88.14758829187852</v>
      </c>
      <c r="K7" s="13">
        <f t="shared" si="4"/>
        <v>93.99684044233807</v>
      </c>
      <c r="L7" s="13">
        <f t="shared" si="20"/>
        <v>5.849252150459549</v>
      </c>
      <c r="M7" s="5">
        <f>6647+498</f>
        <v>7145</v>
      </c>
      <c r="O7" s="5">
        <f t="shared" si="21"/>
        <v>7145</v>
      </c>
      <c r="P7" s="5">
        <f>2245+5</f>
        <v>2250</v>
      </c>
      <c r="R7" s="5">
        <f t="shared" si="22"/>
        <v>2250</v>
      </c>
      <c r="S7" s="14">
        <f t="shared" si="23"/>
        <v>31.490552834149753</v>
      </c>
      <c r="T7" s="6">
        <v>1488</v>
      </c>
      <c r="U7" s="6"/>
      <c r="V7" s="6">
        <f t="shared" si="24"/>
        <v>1488</v>
      </c>
      <c r="W7" s="6">
        <v>905</v>
      </c>
      <c r="X7" s="6"/>
      <c r="Y7" s="6">
        <f t="shared" si="25"/>
        <v>905</v>
      </c>
      <c r="Z7" s="15">
        <f t="shared" si="5"/>
        <v>60.81989247311827</v>
      </c>
      <c r="AA7" s="15" t="e">
        <f t="shared" si="6"/>
        <v>#DIV/0!</v>
      </c>
      <c r="AB7" s="7">
        <v>220</v>
      </c>
      <c r="AC7" s="7"/>
      <c r="AD7" s="7">
        <f t="shared" si="26"/>
        <v>220</v>
      </c>
      <c r="AE7" s="7">
        <v>74</v>
      </c>
      <c r="AF7" s="7"/>
      <c r="AG7" s="7">
        <f t="shared" si="27"/>
        <v>74</v>
      </c>
      <c r="AH7" s="16">
        <f t="shared" si="7"/>
        <v>33.63636363636363</v>
      </c>
      <c r="AI7" s="16" t="e">
        <f t="shared" si="8"/>
        <v>#DIV/0!</v>
      </c>
      <c r="AJ7" s="8">
        <f t="shared" si="9"/>
        <v>8853</v>
      </c>
      <c r="AK7" s="8">
        <f t="shared" si="10"/>
        <v>0</v>
      </c>
      <c r="AL7" s="8">
        <f t="shared" si="11"/>
        <v>8853</v>
      </c>
      <c r="AM7" s="8">
        <f t="shared" si="12"/>
        <v>3229</v>
      </c>
      <c r="AN7" s="8">
        <f t="shared" si="13"/>
        <v>0</v>
      </c>
      <c r="AO7" s="8">
        <f t="shared" si="14"/>
        <v>3229</v>
      </c>
      <c r="AP7" s="17">
        <f t="shared" si="28"/>
        <v>36.47351180390828</v>
      </c>
      <c r="AQ7" s="17" t="e">
        <f t="shared" si="29"/>
        <v>#DIV/0!</v>
      </c>
      <c r="AR7" s="17">
        <f t="shared" si="15"/>
        <v>36.47351180390828</v>
      </c>
      <c r="AS7" s="18">
        <v>94992</v>
      </c>
      <c r="AT7" s="18"/>
      <c r="AU7" s="18">
        <f t="shared" si="16"/>
        <v>94992</v>
      </c>
      <c r="AV7" s="19">
        <f t="shared" si="17"/>
        <v>9.319732187973724</v>
      </c>
      <c r="AW7" s="19" t="e">
        <f t="shared" si="30"/>
        <v>#DIV/0!</v>
      </c>
      <c r="AX7" s="19">
        <f t="shared" si="31"/>
        <v>3.3992336196732356</v>
      </c>
      <c r="AY7" s="19" t="e">
        <f t="shared" si="18"/>
        <v>#DIV/0!</v>
      </c>
      <c r="AZ7" s="19">
        <f t="shared" si="19"/>
        <v>9.319732187973724</v>
      </c>
      <c r="BA7" s="19">
        <f t="shared" si="32"/>
        <v>3.3992336196732356</v>
      </c>
      <c r="BB7" s="11">
        <f t="shared" si="33"/>
        <v>36.47351180390828</v>
      </c>
    </row>
    <row r="8" spans="1:54" ht="12.75">
      <c r="A8" s="1" t="s">
        <v>71</v>
      </c>
      <c r="B8" s="12" t="s">
        <v>7</v>
      </c>
      <c r="C8" s="4">
        <f>15889+311</f>
        <v>16200</v>
      </c>
      <c r="D8" s="4">
        <v>635</v>
      </c>
      <c r="E8" s="4">
        <f t="shared" si="0"/>
        <v>16835</v>
      </c>
      <c r="F8" s="4">
        <f>3876+113</f>
        <v>3989</v>
      </c>
      <c r="G8" s="4">
        <v>84</v>
      </c>
      <c r="H8" s="4">
        <f t="shared" si="1"/>
        <v>4073</v>
      </c>
      <c r="I8" s="13">
        <f t="shared" si="2"/>
        <v>24.193644193644193</v>
      </c>
      <c r="J8" s="13">
        <f t="shared" si="3"/>
        <v>96.22809622809623</v>
      </c>
      <c r="K8" s="13">
        <f t="shared" si="4"/>
        <v>97.9376381045912</v>
      </c>
      <c r="L8" s="13">
        <f t="shared" si="20"/>
        <v>1.709541876494967</v>
      </c>
      <c r="M8" s="5">
        <v>5009</v>
      </c>
      <c r="N8" s="5">
        <v>685</v>
      </c>
      <c r="O8" s="5">
        <f t="shared" si="21"/>
        <v>5694</v>
      </c>
      <c r="P8" s="5">
        <f>1768+1</f>
        <v>1769</v>
      </c>
      <c r="Q8" s="5">
        <v>412</v>
      </c>
      <c r="R8" s="5">
        <f t="shared" si="22"/>
        <v>2181</v>
      </c>
      <c r="S8" s="14">
        <f t="shared" si="23"/>
        <v>38.30347734457323</v>
      </c>
      <c r="T8" s="6">
        <v>1284</v>
      </c>
      <c r="U8" s="6">
        <v>350</v>
      </c>
      <c r="V8" s="6">
        <f t="shared" si="24"/>
        <v>1634</v>
      </c>
      <c r="W8" s="6">
        <v>807</v>
      </c>
      <c r="X8" s="6">
        <v>258</v>
      </c>
      <c r="Y8" s="6">
        <f t="shared" si="25"/>
        <v>1065</v>
      </c>
      <c r="Z8" s="15">
        <f t="shared" si="5"/>
        <v>62.850467289719624</v>
      </c>
      <c r="AA8" s="15">
        <f t="shared" si="6"/>
        <v>73.71428571428571</v>
      </c>
      <c r="AB8" s="7">
        <v>119</v>
      </c>
      <c r="AC8" s="7">
        <v>52</v>
      </c>
      <c r="AD8" s="7">
        <f t="shared" si="26"/>
        <v>171</v>
      </c>
      <c r="AE8" s="7">
        <v>27</v>
      </c>
      <c r="AF8" s="7">
        <v>42</v>
      </c>
      <c r="AG8" s="7">
        <f t="shared" si="27"/>
        <v>69</v>
      </c>
      <c r="AH8" s="16">
        <f t="shared" si="7"/>
        <v>22.689075630252102</v>
      </c>
      <c r="AI8" s="16">
        <f t="shared" si="8"/>
        <v>80.76923076923077</v>
      </c>
      <c r="AJ8" s="8">
        <f t="shared" si="9"/>
        <v>6412</v>
      </c>
      <c r="AK8" s="8">
        <f t="shared" si="10"/>
        <v>1087</v>
      </c>
      <c r="AL8" s="8">
        <f t="shared" si="11"/>
        <v>7499</v>
      </c>
      <c r="AM8" s="8">
        <f t="shared" si="12"/>
        <v>2603</v>
      </c>
      <c r="AN8" s="8">
        <f t="shared" si="13"/>
        <v>712</v>
      </c>
      <c r="AO8" s="8">
        <f t="shared" si="14"/>
        <v>3315</v>
      </c>
      <c r="AP8" s="17">
        <f t="shared" si="28"/>
        <v>40.59575795383656</v>
      </c>
      <c r="AQ8" s="17">
        <f t="shared" si="29"/>
        <v>65.50137994480221</v>
      </c>
      <c r="AR8" s="17">
        <f t="shared" si="15"/>
        <v>44.20589411921589</v>
      </c>
      <c r="AS8" s="18">
        <v>59299</v>
      </c>
      <c r="AT8" s="18">
        <v>6367</v>
      </c>
      <c r="AU8" s="18">
        <f t="shared" si="16"/>
        <v>65666</v>
      </c>
      <c r="AV8" s="19">
        <f t="shared" si="17"/>
        <v>10.812998532858902</v>
      </c>
      <c r="AW8" s="19">
        <f t="shared" si="30"/>
        <v>17.07240458614732</v>
      </c>
      <c r="AX8" s="19">
        <f t="shared" si="31"/>
        <v>4.3896187119512975</v>
      </c>
      <c r="AY8" s="19">
        <f t="shared" si="18"/>
        <v>11.182660593686194</v>
      </c>
      <c r="AZ8" s="19">
        <f t="shared" si="19"/>
        <v>11.419912892516676</v>
      </c>
      <c r="BA8" s="19">
        <f t="shared" si="32"/>
        <v>5.048274601772606</v>
      </c>
      <c r="BB8" s="11">
        <f t="shared" si="33"/>
        <v>44.20589411921589</v>
      </c>
    </row>
    <row r="9" spans="1:54" ht="12.75">
      <c r="A9" s="1" t="s">
        <v>72</v>
      </c>
      <c r="B9" s="12" t="s">
        <v>8</v>
      </c>
      <c r="C9" s="4">
        <v>18725</v>
      </c>
      <c r="D9" s="4">
        <v>1681</v>
      </c>
      <c r="E9" s="4">
        <f t="shared" si="0"/>
        <v>20406</v>
      </c>
      <c r="F9" s="4">
        <v>4680</v>
      </c>
      <c r="G9" s="4">
        <v>186</v>
      </c>
      <c r="H9" s="4">
        <f t="shared" si="1"/>
        <v>4866</v>
      </c>
      <c r="I9" s="13">
        <f t="shared" si="2"/>
        <v>23.84592766833284</v>
      </c>
      <c r="J9" s="13">
        <f t="shared" si="3"/>
        <v>91.76222679604038</v>
      </c>
      <c r="K9" s="13">
        <f t="shared" si="4"/>
        <v>96.17755856966707</v>
      </c>
      <c r="L9" s="13">
        <f t="shared" si="20"/>
        <v>4.41533177362669</v>
      </c>
      <c r="M9" s="5">
        <v>5879</v>
      </c>
      <c r="O9" s="5">
        <f t="shared" si="21"/>
        <v>5879</v>
      </c>
      <c r="P9" s="5">
        <f>2162+4</f>
        <v>2166</v>
      </c>
      <c r="R9" s="5">
        <f t="shared" si="22"/>
        <v>2166</v>
      </c>
      <c r="S9" s="14">
        <f t="shared" si="23"/>
        <v>36.843000510290864</v>
      </c>
      <c r="T9" s="6">
        <v>1297</v>
      </c>
      <c r="U9" s="6"/>
      <c r="V9" s="6">
        <f t="shared" si="24"/>
        <v>1297</v>
      </c>
      <c r="W9" s="6">
        <v>895</v>
      </c>
      <c r="X9" s="6"/>
      <c r="Y9" s="6">
        <f t="shared" si="25"/>
        <v>895</v>
      </c>
      <c r="Z9" s="15">
        <f t="shared" si="5"/>
        <v>69.0053970701619</v>
      </c>
      <c r="AA9" s="15" t="e">
        <f t="shared" si="6"/>
        <v>#DIV/0!</v>
      </c>
      <c r="AB9" s="7">
        <v>203</v>
      </c>
      <c r="AC9" s="7"/>
      <c r="AD9" s="7">
        <f t="shared" si="26"/>
        <v>203</v>
      </c>
      <c r="AE9" s="7">
        <v>61</v>
      </c>
      <c r="AF9" s="7"/>
      <c r="AG9" s="7">
        <f t="shared" si="27"/>
        <v>61</v>
      </c>
      <c r="AH9" s="16">
        <f t="shared" si="7"/>
        <v>30.049261083743843</v>
      </c>
      <c r="AI9" s="16" t="e">
        <f t="shared" si="8"/>
        <v>#DIV/0!</v>
      </c>
      <c r="AJ9" s="8">
        <f t="shared" si="9"/>
        <v>7379</v>
      </c>
      <c r="AK9" s="8">
        <f t="shared" si="10"/>
        <v>0</v>
      </c>
      <c r="AL9" s="8">
        <f t="shared" si="11"/>
        <v>7379</v>
      </c>
      <c r="AM9" s="8">
        <f t="shared" si="12"/>
        <v>3122</v>
      </c>
      <c r="AN9" s="8">
        <f t="shared" si="13"/>
        <v>0</v>
      </c>
      <c r="AO9" s="8">
        <f t="shared" si="14"/>
        <v>3122</v>
      </c>
      <c r="AP9" s="17">
        <f t="shared" si="28"/>
        <v>42.309255996747524</v>
      </c>
      <c r="AQ9" s="17" t="e">
        <f t="shared" si="29"/>
        <v>#DIV/0!</v>
      </c>
      <c r="AR9" s="17">
        <f t="shared" si="15"/>
        <v>42.309255996747524</v>
      </c>
      <c r="AS9" s="18">
        <v>68430</v>
      </c>
      <c r="AT9" s="18"/>
      <c r="AU9" s="18">
        <f t="shared" si="16"/>
        <v>68430</v>
      </c>
      <c r="AV9" s="19">
        <f t="shared" si="17"/>
        <v>10.783282186175654</v>
      </c>
      <c r="AW9" s="19" t="e">
        <f t="shared" si="30"/>
        <v>#DIV/0!</v>
      </c>
      <c r="AX9" s="19">
        <f t="shared" si="31"/>
        <v>4.562326465000731</v>
      </c>
      <c r="AY9" s="19" t="e">
        <f t="shared" si="18"/>
        <v>#DIV/0!</v>
      </c>
      <c r="AZ9" s="19">
        <f t="shared" si="19"/>
        <v>10.783282186175654</v>
      </c>
      <c r="BA9" s="19">
        <f t="shared" si="32"/>
        <v>4.562326465000731</v>
      </c>
      <c r="BB9" s="11">
        <f t="shared" si="33"/>
        <v>42.30925599674753</v>
      </c>
    </row>
    <row r="10" spans="1:54" ht="12.75">
      <c r="A10" s="1" t="s">
        <v>73</v>
      </c>
      <c r="B10" s="12" t="s">
        <v>9</v>
      </c>
      <c r="C10" s="4">
        <v>32683</v>
      </c>
      <c r="D10" s="4">
        <v>4205</v>
      </c>
      <c r="E10" s="4">
        <f t="shared" si="0"/>
        <v>36888</v>
      </c>
      <c r="F10" s="4">
        <v>3092</v>
      </c>
      <c r="G10" s="4">
        <v>63</v>
      </c>
      <c r="H10" s="4">
        <f t="shared" si="1"/>
        <v>3155</v>
      </c>
      <c r="I10" s="13">
        <f t="shared" si="2"/>
        <v>8.552916937757535</v>
      </c>
      <c r="J10" s="13">
        <f t="shared" si="3"/>
        <v>88.60062893081762</v>
      </c>
      <c r="K10" s="13">
        <f t="shared" si="4"/>
        <v>98.00316957210777</v>
      </c>
      <c r="L10" s="13">
        <f t="shared" si="20"/>
        <v>9.402540641290145</v>
      </c>
      <c r="M10" s="5">
        <v>8283</v>
      </c>
      <c r="O10" s="5">
        <f t="shared" si="21"/>
        <v>8283</v>
      </c>
      <c r="P10" s="5">
        <f>3303+4</f>
        <v>3307</v>
      </c>
      <c r="R10" s="5">
        <f t="shared" si="22"/>
        <v>3307</v>
      </c>
      <c r="S10" s="14">
        <f t="shared" si="23"/>
        <v>39.92514789327538</v>
      </c>
      <c r="T10" s="6">
        <v>1759</v>
      </c>
      <c r="U10" s="6"/>
      <c r="V10" s="6">
        <f t="shared" si="24"/>
        <v>1759</v>
      </c>
      <c r="W10" s="6">
        <v>1174</v>
      </c>
      <c r="X10" s="6"/>
      <c r="Y10" s="6">
        <f t="shared" si="25"/>
        <v>1174</v>
      </c>
      <c r="Z10" s="15">
        <f t="shared" si="5"/>
        <v>66.74246731097215</v>
      </c>
      <c r="AA10" s="15" t="e">
        <f t="shared" si="6"/>
        <v>#DIV/0!</v>
      </c>
      <c r="AB10" s="7">
        <v>230</v>
      </c>
      <c r="AC10" s="7"/>
      <c r="AD10" s="7">
        <f t="shared" si="26"/>
        <v>230</v>
      </c>
      <c r="AE10" s="7">
        <v>104</v>
      </c>
      <c r="AF10" s="7"/>
      <c r="AG10" s="7">
        <f t="shared" si="27"/>
        <v>104</v>
      </c>
      <c r="AH10" s="16">
        <f t="shared" si="7"/>
        <v>45.21739130434783</v>
      </c>
      <c r="AI10" s="16" t="e">
        <f t="shared" si="8"/>
        <v>#DIV/0!</v>
      </c>
      <c r="AJ10" s="8">
        <f t="shared" si="9"/>
        <v>10272</v>
      </c>
      <c r="AK10" s="8">
        <f t="shared" si="10"/>
        <v>0</v>
      </c>
      <c r="AL10" s="8">
        <f t="shared" si="11"/>
        <v>10272</v>
      </c>
      <c r="AM10" s="8">
        <f t="shared" si="12"/>
        <v>4585</v>
      </c>
      <c r="AN10" s="8">
        <f t="shared" si="13"/>
        <v>0</v>
      </c>
      <c r="AO10" s="8">
        <f t="shared" si="14"/>
        <v>4585</v>
      </c>
      <c r="AP10" s="17">
        <f t="shared" si="28"/>
        <v>44.63590342679128</v>
      </c>
      <c r="AQ10" s="17" t="e">
        <f t="shared" si="29"/>
        <v>#DIV/0!</v>
      </c>
      <c r="AR10" s="17">
        <f t="shared" si="15"/>
        <v>44.63590342679128</v>
      </c>
      <c r="AS10" s="18">
        <v>100066</v>
      </c>
      <c r="AT10" s="18"/>
      <c r="AU10" s="18">
        <f t="shared" si="16"/>
        <v>100066</v>
      </c>
      <c r="AV10" s="19">
        <f t="shared" si="17"/>
        <v>10.265224951531989</v>
      </c>
      <c r="AW10" s="19" t="e">
        <f t="shared" si="30"/>
        <v>#DIV/0!</v>
      </c>
      <c r="AX10" s="19">
        <f t="shared" si="31"/>
        <v>4.5819758959087</v>
      </c>
      <c r="AY10" s="19" t="e">
        <f t="shared" si="18"/>
        <v>#DIV/0!</v>
      </c>
      <c r="AZ10" s="19">
        <f t="shared" si="19"/>
        <v>10.265224951531989</v>
      </c>
      <c r="BA10" s="19">
        <f t="shared" si="32"/>
        <v>4.5819758959087</v>
      </c>
      <c r="BB10" s="11">
        <f t="shared" si="33"/>
        <v>44.63590342679127</v>
      </c>
    </row>
    <row r="11" spans="1:54" ht="12.75">
      <c r="A11" s="1" t="s">
        <v>74</v>
      </c>
      <c r="B11" s="12" t="s">
        <v>10</v>
      </c>
      <c r="C11" s="4">
        <v>14649</v>
      </c>
      <c r="D11" s="4">
        <v>836</v>
      </c>
      <c r="E11" s="4">
        <f t="shared" si="0"/>
        <v>15485</v>
      </c>
      <c r="F11" s="4">
        <v>2424</v>
      </c>
      <c r="G11" s="4">
        <v>35</v>
      </c>
      <c r="H11" s="4">
        <f t="shared" si="1"/>
        <v>2459</v>
      </c>
      <c r="I11" s="13">
        <f t="shared" si="2"/>
        <v>15.879883758475943</v>
      </c>
      <c r="J11" s="13">
        <f t="shared" si="3"/>
        <v>94.60122699386503</v>
      </c>
      <c r="K11" s="13">
        <f t="shared" si="4"/>
        <v>98.57665717771452</v>
      </c>
      <c r="L11" s="13">
        <f t="shared" si="20"/>
        <v>3.9754301838494968</v>
      </c>
      <c r="M11" s="5">
        <f>4643+169</f>
        <v>4812</v>
      </c>
      <c r="O11" s="5">
        <f t="shared" si="21"/>
        <v>4812</v>
      </c>
      <c r="P11" s="5">
        <f>1912+7</f>
        <v>1919</v>
      </c>
      <c r="R11" s="5">
        <f t="shared" si="22"/>
        <v>1919</v>
      </c>
      <c r="S11" s="14">
        <f t="shared" si="23"/>
        <v>39.879467996674975</v>
      </c>
      <c r="T11" s="6">
        <v>1129</v>
      </c>
      <c r="U11" s="6"/>
      <c r="V11" s="6">
        <f t="shared" si="24"/>
        <v>1129</v>
      </c>
      <c r="W11" s="6">
        <v>755</v>
      </c>
      <c r="X11" s="6"/>
      <c r="Y11" s="6">
        <f t="shared" si="25"/>
        <v>755</v>
      </c>
      <c r="Z11" s="15">
        <f t="shared" si="5"/>
        <v>66.87333923826395</v>
      </c>
      <c r="AA11" s="15" t="e">
        <f t="shared" si="6"/>
        <v>#DIV/0!</v>
      </c>
      <c r="AB11" s="7">
        <v>210</v>
      </c>
      <c r="AC11" s="7"/>
      <c r="AD11" s="7">
        <f t="shared" si="26"/>
        <v>210</v>
      </c>
      <c r="AE11" s="7">
        <v>64</v>
      </c>
      <c r="AF11" s="7"/>
      <c r="AG11" s="7">
        <f t="shared" si="27"/>
        <v>64</v>
      </c>
      <c r="AH11" s="16">
        <f t="shared" si="7"/>
        <v>30.476190476190478</v>
      </c>
      <c r="AI11" s="16" t="e">
        <f t="shared" si="8"/>
        <v>#DIV/0!</v>
      </c>
      <c r="AJ11" s="8">
        <f t="shared" si="9"/>
        <v>6151</v>
      </c>
      <c r="AK11" s="8">
        <f t="shared" si="10"/>
        <v>0</v>
      </c>
      <c r="AL11" s="8">
        <f t="shared" si="11"/>
        <v>6151</v>
      </c>
      <c r="AM11" s="8">
        <f t="shared" si="12"/>
        <v>2738</v>
      </c>
      <c r="AN11" s="8">
        <f t="shared" si="13"/>
        <v>0</v>
      </c>
      <c r="AO11" s="8">
        <f t="shared" si="14"/>
        <v>2738</v>
      </c>
      <c r="AP11" s="17">
        <f t="shared" si="28"/>
        <v>44.51308730287758</v>
      </c>
      <c r="AQ11" s="17" t="e">
        <f t="shared" si="29"/>
        <v>#DIV/0!</v>
      </c>
      <c r="AR11" s="17">
        <f t="shared" si="15"/>
        <v>44.51308730287758</v>
      </c>
      <c r="AS11" s="18">
        <v>54244</v>
      </c>
      <c r="AT11" s="18"/>
      <c r="AU11" s="18">
        <f t="shared" si="16"/>
        <v>54244</v>
      </c>
      <c r="AV11" s="19">
        <f t="shared" si="17"/>
        <v>11.33950298650542</v>
      </c>
      <c r="AW11" s="19" t="e">
        <f t="shared" si="30"/>
        <v>#DIV/0!</v>
      </c>
      <c r="AX11" s="19">
        <f t="shared" si="31"/>
        <v>5.047562864095568</v>
      </c>
      <c r="AY11" s="19" t="e">
        <f t="shared" si="18"/>
        <v>#DIV/0!</v>
      </c>
      <c r="AZ11" s="19">
        <f t="shared" si="19"/>
        <v>11.33950298650542</v>
      </c>
      <c r="BA11" s="19">
        <f t="shared" si="32"/>
        <v>5.047562864095568</v>
      </c>
      <c r="BB11" s="11">
        <f t="shared" si="33"/>
        <v>44.51308730287757</v>
      </c>
    </row>
    <row r="12" spans="1:54" ht="12.75">
      <c r="A12" s="1" t="s">
        <v>75</v>
      </c>
      <c r="B12" s="12" t="s">
        <v>11</v>
      </c>
      <c r="C12" s="4">
        <v>31419</v>
      </c>
      <c r="D12" s="4">
        <v>9218</v>
      </c>
      <c r="E12" s="4">
        <f t="shared" si="0"/>
        <v>40637</v>
      </c>
      <c r="F12" s="4">
        <v>2178</v>
      </c>
      <c r="G12" s="4">
        <v>270</v>
      </c>
      <c r="H12" s="4">
        <f t="shared" si="1"/>
        <v>2448</v>
      </c>
      <c r="I12" s="13">
        <f t="shared" si="2"/>
        <v>6.024066737209932</v>
      </c>
      <c r="J12" s="13">
        <f t="shared" si="3"/>
        <v>77.31623889558776</v>
      </c>
      <c r="K12" s="13">
        <f t="shared" si="4"/>
        <v>88.97058823529412</v>
      </c>
      <c r="L12" s="13">
        <f t="shared" si="20"/>
        <v>11.654349339706357</v>
      </c>
      <c r="M12" s="5">
        <f>7958+207</f>
        <v>8165</v>
      </c>
      <c r="O12" s="5">
        <f t="shared" si="21"/>
        <v>8165</v>
      </c>
      <c r="P12" s="5">
        <f>2855+10</f>
        <v>2865</v>
      </c>
      <c r="R12" s="5">
        <f t="shared" si="22"/>
        <v>2865</v>
      </c>
      <c r="S12" s="14">
        <f t="shared" si="23"/>
        <v>35.08879363135334</v>
      </c>
      <c r="T12" s="6">
        <v>1592</v>
      </c>
      <c r="U12" s="6"/>
      <c r="V12" s="6">
        <f t="shared" si="24"/>
        <v>1592</v>
      </c>
      <c r="W12" s="6">
        <v>1102</v>
      </c>
      <c r="X12" s="6"/>
      <c r="Y12" s="6">
        <f t="shared" si="25"/>
        <v>1102</v>
      </c>
      <c r="Z12" s="15">
        <f t="shared" si="5"/>
        <v>69.22110552763819</v>
      </c>
      <c r="AA12" s="15" t="e">
        <f t="shared" si="6"/>
        <v>#DIV/0!</v>
      </c>
      <c r="AB12" s="7">
        <v>305</v>
      </c>
      <c r="AC12" s="7"/>
      <c r="AD12" s="7">
        <f t="shared" si="26"/>
        <v>305</v>
      </c>
      <c r="AE12" s="7">
        <v>116</v>
      </c>
      <c r="AF12" s="7"/>
      <c r="AG12" s="7">
        <f t="shared" si="27"/>
        <v>116</v>
      </c>
      <c r="AH12" s="16">
        <f t="shared" si="7"/>
        <v>38.0327868852459</v>
      </c>
      <c r="AI12" s="16" t="e">
        <f t="shared" si="8"/>
        <v>#DIV/0!</v>
      </c>
      <c r="AJ12" s="8">
        <f t="shared" si="9"/>
        <v>10062</v>
      </c>
      <c r="AK12" s="8">
        <f t="shared" si="10"/>
        <v>0</v>
      </c>
      <c r="AL12" s="8">
        <f t="shared" si="11"/>
        <v>10062</v>
      </c>
      <c r="AM12" s="8">
        <f t="shared" si="12"/>
        <v>4083</v>
      </c>
      <c r="AN12" s="8">
        <f t="shared" si="13"/>
        <v>0</v>
      </c>
      <c r="AO12" s="8">
        <f t="shared" si="14"/>
        <v>4083</v>
      </c>
      <c r="AP12" s="17">
        <f t="shared" si="28"/>
        <v>40.57841383422779</v>
      </c>
      <c r="AQ12" s="17" t="e">
        <f t="shared" si="29"/>
        <v>#DIV/0!</v>
      </c>
      <c r="AR12" s="17">
        <f t="shared" si="15"/>
        <v>40.57841383422779</v>
      </c>
      <c r="AS12" s="18">
        <v>112344</v>
      </c>
      <c r="AT12" s="18"/>
      <c r="AU12" s="18">
        <f t="shared" si="16"/>
        <v>112344</v>
      </c>
      <c r="AV12" s="19">
        <f t="shared" si="17"/>
        <v>8.956419568468275</v>
      </c>
      <c r="AW12" s="19" t="e">
        <f t="shared" si="30"/>
        <v>#DIV/0!</v>
      </c>
      <c r="AX12" s="19">
        <f t="shared" si="31"/>
        <v>3.634372997222816</v>
      </c>
      <c r="AY12" s="19" t="e">
        <f t="shared" si="18"/>
        <v>#DIV/0!</v>
      </c>
      <c r="AZ12" s="19">
        <f t="shared" si="19"/>
        <v>8.956419568468275</v>
      </c>
      <c r="BA12" s="19">
        <f t="shared" si="32"/>
        <v>3.634372997222816</v>
      </c>
      <c r="BB12" s="11">
        <f t="shared" si="33"/>
        <v>40.578413834227796</v>
      </c>
    </row>
    <row r="13" spans="1:54" ht="12.75">
      <c r="A13" s="1" t="s">
        <v>76</v>
      </c>
      <c r="B13" s="12" t="s">
        <v>12</v>
      </c>
      <c r="C13" s="4">
        <v>7614</v>
      </c>
      <c r="D13" s="4">
        <v>2336</v>
      </c>
      <c r="E13" s="4">
        <f t="shared" si="0"/>
        <v>9950</v>
      </c>
      <c r="F13" s="4">
        <v>17</v>
      </c>
      <c r="G13" s="4">
        <v>2</v>
      </c>
      <c r="H13" s="4">
        <f t="shared" si="1"/>
        <v>19</v>
      </c>
      <c r="I13" s="13">
        <f t="shared" si="2"/>
        <v>0.19095477386934676</v>
      </c>
      <c r="J13" s="13">
        <f t="shared" si="3"/>
        <v>76.52261306532662</v>
      </c>
      <c r="K13" s="13">
        <f t="shared" si="4"/>
        <v>89.47368421052632</v>
      </c>
      <c r="L13" s="13">
        <f t="shared" si="20"/>
        <v>12.951071145199691</v>
      </c>
      <c r="M13" s="5">
        <v>894</v>
      </c>
      <c r="O13" s="5">
        <f t="shared" si="21"/>
        <v>894</v>
      </c>
      <c r="P13" s="5">
        <f>256+1</f>
        <v>257</v>
      </c>
      <c r="R13" s="5">
        <f t="shared" si="22"/>
        <v>257</v>
      </c>
      <c r="S13" s="14">
        <f t="shared" si="23"/>
        <v>28.747203579418347</v>
      </c>
      <c r="T13" s="6">
        <v>244</v>
      </c>
      <c r="U13" s="6"/>
      <c r="V13" s="6">
        <f t="shared" si="24"/>
        <v>244</v>
      </c>
      <c r="W13" s="6">
        <v>149</v>
      </c>
      <c r="X13" s="6"/>
      <c r="Y13" s="6">
        <f t="shared" si="25"/>
        <v>149</v>
      </c>
      <c r="Z13" s="15">
        <f t="shared" si="5"/>
        <v>61.065573770491795</v>
      </c>
      <c r="AA13" s="15" t="e">
        <f t="shared" si="6"/>
        <v>#DIV/0!</v>
      </c>
      <c r="AB13" s="7">
        <v>13</v>
      </c>
      <c r="AC13" s="7"/>
      <c r="AD13" s="7">
        <f t="shared" si="26"/>
        <v>13</v>
      </c>
      <c r="AE13" s="7">
        <v>6</v>
      </c>
      <c r="AF13" s="7"/>
      <c r="AG13" s="7">
        <f t="shared" si="27"/>
        <v>6</v>
      </c>
      <c r="AH13" s="16">
        <f t="shared" si="7"/>
        <v>46.15384615384615</v>
      </c>
      <c r="AI13" s="16" t="e">
        <f t="shared" si="8"/>
        <v>#DIV/0!</v>
      </c>
      <c r="AJ13" s="8">
        <f t="shared" si="9"/>
        <v>1151</v>
      </c>
      <c r="AK13" s="8">
        <f t="shared" si="10"/>
        <v>0</v>
      </c>
      <c r="AL13" s="8">
        <f t="shared" si="11"/>
        <v>1151</v>
      </c>
      <c r="AM13" s="8">
        <f t="shared" si="12"/>
        <v>412</v>
      </c>
      <c r="AN13" s="8">
        <f t="shared" si="13"/>
        <v>0</v>
      </c>
      <c r="AO13" s="8">
        <f t="shared" si="14"/>
        <v>412</v>
      </c>
      <c r="AP13" s="17">
        <f t="shared" si="28"/>
        <v>35.79496090356212</v>
      </c>
      <c r="AQ13" s="17" t="e">
        <f t="shared" si="29"/>
        <v>#DIV/0!</v>
      </c>
      <c r="AR13" s="17">
        <f t="shared" si="15"/>
        <v>35.79496090356212</v>
      </c>
      <c r="AS13" s="18">
        <v>16235</v>
      </c>
      <c r="AT13" s="18"/>
      <c r="AU13" s="18">
        <f t="shared" si="16"/>
        <v>16235</v>
      </c>
      <c r="AV13" s="19">
        <f t="shared" si="17"/>
        <v>7.089621188789652</v>
      </c>
      <c r="AW13" s="19" t="e">
        <f t="shared" si="30"/>
        <v>#DIV/0!</v>
      </c>
      <c r="AX13" s="19">
        <f t="shared" si="31"/>
        <v>2.537727132737912</v>
      </c>
      <c r="AY13" s="19" t="e">
        <f t="shared" si="18"/>
        <v>#DIV/0!</v>
      </c>
      <c r="AZ13" s="19">
        <f t="shared" si="19"/>
        <v>7.089621188789652</v>
      </c>
      <c r="BA13" s="19">
        <f t="shared" si="32"/>
        <v>2.537727132737912</v>
      </c>
      <c r="BB13" s="11">
        <f t="shared" si="33"/>
        <v>35.79496090356212</v>
      </c>
    </row>
    <row r="14" spans="1:54" ht="12.75">
      <c r="A14" s="1" t="s">
        <v>77</v>
      </c>
      <c r="B14" s="12" t="s">
        <v>13</v>
      </c>
      <c r="C14" s="4">
        <v>11039</v>
      </c>
      <c r="D14" s="4">
        <v>2145</v>
      </c>
      <c r="E14" s="4">
        <f t="shared" si="0"/>
        <v>13184</v>
      </c>
      <c r="F14" s="4">
        <v>1199</v>
      </c>
      <c r="G14" s="4">
        <v>40</v>
      </c>
      <c r="H14" s="4">
        <f t="shared" si="1"/>
        <v>1239</v>
      </c>
      <c r="I14" s="13">
        <f t="shared" si="2"/>
        <v>9.397754854368932</v>
      </c>
      <c r="J14" s="13">
        <f t="shared" si="3"/>
        <v>83.73027912621359</v>
      </c>
      <c r="K14" s="13">
        <f t="shared" si="4"/>
        <v>96.77158999192898</v>
      </c>
      <c r="L14" s="13">
        <f t="shared" si="20"/>
        <v>13.041310865715388</v>
      </c>
      <c r="M14" s="5">
        <v>2806</v>
      </c>
      <c r="O14" s="5">
        <f t="shared" si="21"/>
        <v>2806</v>
      </c>
      <c r="P14" s="5">
        <f>886+1</f>
        <v>887</v>
      </c>
      <c r="R14" s="5">
        <f t="shared" si="22"/>
        <v>887</v>
      </c>
      <c r="S14" s="14">
        <f t="shared" si="23"/>
        <v>31.61083392729865</v>
      </c>
      <c r="T14" s="6">
        <v>570</v>
      </c>
      <c r="U14" s="6"/>
      <c r="V14" s="6">
        <f t="shared" si="24"/>
        <v>570</v>
      </c>
      <c r="W14" s="6">
        <v>395</v>
      </c>
      <c r="X14" s="6"/>
      <c r="Y14" s="6">
        <f t="shared" si="25"/>
        <v>395</v>
      </c>
      <c r="Z14" s="15">
        <f t="shared" si="5"/>
        <v>69.2982456140351</v>
      </c>
      <c r="AA14" s="15" t="e">
        <f t="shared" si="6"/>
        <v>#DIV/0!</v>
      </c>
      <c r="AB14" s="7">
        <v>101</v>
      </c>
      <c r="AC14" s="7"/>
      <c r="AD14" s="7">
        <f t="shared" si="26"/>
        <v>101</v>
      </c>
      <c r="AE14" s="7">
        <v>22</v>
      </c>
      <c r="AF14" s="7"/>
      <c r="AG14" s="7">
        <f t="shared" si="27"/>
        <v>22</v>
      </c>
      <c r="AH14" s="16">
        <f t="shared" si="7"/>
        <v>21.782178217821784</v>
      </c>
      <c r="AI14" s="16" t="e">
        <f t="shared" si="8"/>
        <v>#DIV/0!</v>
      </c>
      <c r="AJ14" s="8">
        <f t="shared" si="9"/>
        <v>3477</v>
      </c>
      <c r="AK14" s="8">
        <f t="shared" si="10"/>
        <v>0</v>
      </c>
      <c r="AL14" s="8">
        <f t="shared" si="11"/>
        <v>3477</v>
      </c>
      <c r="AM14" s="8">
        <f t="shared" si="12"/>
        <v>1304</v>
      </c>
      <c r="AN14" s="8">
        <f t="shared" si="13"/>
        <v>0</v>
      </c>
      <c r="AO14" s="8">
        <f t="shared" si="14"/>
        <v>1304</v>
      </c>
      <c r="AP14" s="17">
        <f t="shared" si="28"/>
        <v>37.50359505320679</v>
      </c>
      <c r="AQ14" s="17" t="e">
        <f t="shared" si="29"/>
        <v>#DIV/0!</v>
      </c>
      <c r="AR14" s="17">
        <f t="shared" si="15"/>
        <v>37.50359505320679</v>
      </c>
      <c r="AS14" s="18">
        <v>40714</v>
      </c>
      <c r="AT14" s="18"/>
      <c r="AU14" s="18">
        <f t="shared" si="16"/>
        <v>40714</v>
      </c>
      <c r="AV14" s="19">
        <f t="shared" si="17"/>
        <v>8.540059930245125</v>
      </c>
      <c r="AW14" s="19" t="e">
        <f t="shared" si="30"/>
        <v>#DIV/0!</v>
      </c>
      <c r="AX14" s="19">
        <f t="shared" si="31"/>
        <v>3.2028294935403054</v>
      </c>
      <c r="AY14" s="19" t="e">
        <f t="shared" si="18"/>
        <v>#DIV/0!</v>
      </c>
      <c r="AZ14" s="19">
        <f t="shared" si="19"/>
        <v>8.540059930245125</v>
      </c>
      <c r="BA14" s="19">
        <f t="shared" si="32"/>
        <v>3.2028294935403054</v>
      </c>
      <c r="BB14" s="11">
        <f t="shared" si="33"/>
        <v>37.50359505320679</v>
      </c>
    </row>
    <row r="15" spans="1:54" ht="12.75">
      <c r="A15" s="1" t="s">
        <v>78</v>
      </c>
      <c r="B15" s="12" t="s">
        <v>14</v>
      </c>
      <c r="C15" s="4">
        <v>5155</v>
      </c>
      <c r="D15" s="4">
        <v>377</v>
      </c>
      <c r="E15" s="4">
        <f t="shared" si="0"/>
        <v>5532</v>
      </c>
      <c r="F15" s="4">
        <v>1177</v>
      </c>
      <c r="G15" s="4">
        <v>36</v>
      </c>
      <c r="H15" s="4">
        <f t="shared" si="1"/>
        <v>1213</v>
      </c>
      <c r="I15" s="13">
        <f t="shared" si="2"/>
        <v>21.92697035430224</v>
      </c>
      <c r="J15" s="13">
        <f t="shared" si="3"/>
        <v>93.18510484454086</v>
      </c>
      <c r="K15" s="13">
        <f t="shared" si="4"/>
        <v>97.03215169002473</v>
      </c>
      <c r="L15" s="13">
        <f t="shared" si="20"/>
        <v>3.8470468454838738</v>
      </c>
      <c r="M15" s="5">
        <v>1641</v>
      </c>
      <c r="O15" s="5">
        <f t="shared" si="21"/>
        <v>1641</v>
      </c>
      <c r="P15" s="5">
        <f>675+1</f>
        <v>676</v>
      </c>
      <c r="R15" s="5">
        <f t="shared" si="22"/>
        <v>676</v>
      </c>
      <c r="S15" s="14">
        <f t="shared" si="23"/>
        <v>41.19439366240098</v>
      </c>
      <c r="T15" s="6">
        <v>400</v>
      </c>
      <c r="U15" s="6"/>
      <c r="V15" s="6">
        <f t="shared" si="24"/>
        <v>400</v>
      </c>
      <c r="W15" s="6">
        <v>293</v>
      </c>
      <c r="X15" s="6"/>
      <c r="Y15" s="6">
        <f t="shared" si="25"/>
        <v>293</v>
      </c>
      <c r="Z15" s="15">
        <f t="shared" si="5"/>
        <v>73.25</v>
      </c>
      <c r="AA15" s="15" t="e">
        <f t="shared" si="6"/>
        <v>#DIV/0!</v>
      </c>
      <c r="AB15" s="7">
        <v>42</v>
      </c>
      <c r="AC15" s="7"/>
      <c r="AD15" s="7">
        <f t="shared" si="26"/>
        <v>42</v>
      </c>
      <c r="AE15" s="7">
        <v>18</v>
      </c>
      <c r="AF15" s="7"/>
      <c r="AG15" s="7">
        <f t="shared" si="27"/>
        <v>18</v>
      </c>
      <c r="AH15" s="16">
        <f t="shared" si="7"/>
        <v>42.857142857142854</v>
      </c>
      <c r="AI15" s="16" t="e">
        <f t="shared" si="8"/>
        <v>#DIV/0!</v>
      </c>
      <c r="AJ15" s="8">
        <f t="shared" si="9"/>
        <v>2083</v>
      </c>
      <c r="AK15" s="8">
        <f t="shared" si="10"/>
        <v>0</v>
      </c>
      <c r="AL15" s="8">
        <f t="shared" si="11"/>
        <v>2083</v>
      </c>
      <c r="AM15" s="8">
        <f t="shared" si="12"/>
        <v>987</v>
      </c>
      <c r="AN15" s="8">
        <f t="shared" si="13"/>
        <v>0</v>
      </c>
      <c r="AO15" s="8">
        <f t="shared" si="14"/>
        <v>987</v>
      </c>
      <c r="AP15" s="17">
        <f t="shared" si="28"/>
        <v>47.38358137301969</v>
      </c>
      <c r="AQ15" s="17" t="e">
        <f t="shared" si="29"/>
        <v>#DIV/0!</v>
      </c>
      <c r="AR15" s="17">
        <f t="shared" si="15"/>
        <v>47.38358137301969</v>
      </c>
      <c r="AS15" s="18">
        <v>20807</v>
      </c>
      <c r="AT15" s="18"/>
      <c r="AU15" s="18">
        <f t="shared" si="16"/>
        <v>20807</v>
      </c>
      <c r="AV15" s="19">
        <f t="shared" si="17"/>
        <v>10.011053972220887</v>
      </c>
      <c r="AW15" s="19" t="e">
        <f t="shared" si="30"/>
        <v>#DIV/0!</v>
      </c>
      <c r="AX15" s="19">
        <f t="shared" si="31"/>
        <v>4.743595905224204</v>
      </c>
      <c r="AY15" s="19" t="e">
        <f t="shared" si="18"/>
        <v>#DIV/0!</v>
      </c>
      <c r="AZ15" s="19">
        <f t="shared" si="19"/>
        <v>10.011053972220887</v>
      </c>
      <c r="BA15" s="19">
        <f t="shared" si="32"/>
        <v>4.743595905224204</v>
      </c>
      <c r="BB15" s="11">
        <f t="shared" si="33"/>
        <v>47.38358137301969</v>
      </c>
    </row>
    <row r="16" spans="1:54" ht="12.75">
      <c r="A16" s="1" t="s">
        <v>79</v>
      </c>
      <c r="B16" s="12" t="s">
        <v>15</v>
      </c>
      <c r="C16" s="4">
        <v>9543</v>
      </c>
      <c r="D16" s="4">
        <v>738</v>
      </c>
      <c r="E16" s="4">
        <f t="shared" si="0"/>
        <v>10281</v>
      </c>
      <c r="F16" s="4">
        <v>1092</v>
      </c>
      <c r="G16" s="4">
        <v>26</v>
      </c>
      <c r="H16" s="4">
        <f t="shared" si="1"/>
        <v>1118</v>
      </c>
      <c r="I16" s="13">
        <f t="shared" si="2"/>
        <v>10.874428557533314</v>
      </c>
      <c r="J16" s="13">
        <f t="shared" si="3"/>
        <v>92.82170995039392</v>
      </c>
      <c r="K16" s="13">
        <f t="shared" si="4"/>
        <v>97.67441860465115</v>
      </c>
      <c r="L16" s="13">
        <f t="shared" si="20"/>
        <v>4.852708654257228</v>
      </c>
      <c r="M16" s="5">
        <v>2267</v>
      </c>
      <c r="N16" s="5">
        <v>218</v>
      </c>
      <c r="O16" s="5">
        <f t="shared" si="21"/>
        <v>2485</v>
      </c>
      <c r="P16" s="5">
        <f>633+1</f>
        <v>634</v>
      </c>
      <c r="Q16" s="5">
        <v>137</v>
      </c>
      <c r="R16" s="5">
        <f t="shared" si="22"/>
        <v>771</v>
      </c>
      <c r="S16" s="14">
        <f t="shared" si="23"/>
        <v>31.0261569416499</v>
      </c>
      <c r="T16" s="6">
        <v>342</v>
      </c>
      <c r="U16" s="6">
        <v>60</v>
      </c>
      <c r="V16" s="6">
        <f t="shared" si="24"/>
        <v>402</v>
      </c>
      <c r="W16" s="6">
        <v>255</v>
      </c>
      <c r="X16" s="6">
        <v>47</v>
      </c>
      <c r="Y16" s="6">
        <f t="shared" si="25"/>
        <v>302</v>
      </c>
      <c r="Z16" s="15">
        <f t="shared" si="5"/>
        <v>74.56140350877193</v>
      </c>
      <c r="AA16" s="15">
        <f t="shared" si="6"/>
        <v>78.33333333333333</v>
      </c>
      <c r="AB16" s="7">
        <v>51</v>
      </c>
      <c r="AC16" s="7">
        <v>14</v>
      </c>
      <c r="AD16" s="7">
        <f t="shared" si="26"/>
        <v>65</v>
      </c>
      <c r="AE16" s="7">
        <v>11</v>
      </c>
      <c r="AF16" s="7">
        <v>9</v>
      </c>
      <c r="AG16" s="7">
        <f t="shared" si="27"/>
        <v>20</v>
      </c>
      <c r="AH16" s="16">
        <f t="shared" si="7"/>
        <v>21.568627450980394</v>
      </c>
      <c r="AI16" s="16">
        <f t="shared" si="8"/>
        <v>64.28571428571429</v>
      </c>
      <c r="AJ16" s="8">
        <f t="shared" si="9"/>
        <v>2660</v>
      </c>
      <c r="AK16" s="8">
        <f t="shared" si="10"/>
        <v>292</v>
      </c>
      <c r="AL16" s="8">
        <f t="shared" si="11"/>
        <v>2952</v>
      </c>
      <c r="AM16" s="8">
        <f t="shared" si="12"/>
        <v>900</v>
      </c>
      <c r="AN16" s="8">
        <f t="shared" si="13"/>
        <v>193</v>
      </c>
      <c r="AO16" s="8">
        <f t="shared" si="14"/>
        <v>1093</v>
      </c>
      <c r="AP16" s="17">
        <f t="shared" si="28"/>
        <v>33.83458646616541</v>
      </c>
      <c r="AQ16" s="17">
        <f t="shared" si="29"/>
        <v>66.0958904109589</v>
      </c>
      <c r="AR16" s="17">
        <f t="shared" si="15"/>
        <v>37.02574525745258</v>
      </c>
      <c r="AS16" s="18">
        <v>29896</v>
      </c>
      <c r="AT16" s="18">
        <v>3114</v>
      </c>
      <c r="AU16" s="18">
        <f t="shared" si="16"/>
        <v>33010</v>
      </c>
      <c r="AV16" s="19">
        <f t="shared" si="17"/>
        <v>8.897511372758897</v>
      </c>
      <c r="AW16" s="19">
        <f t="shared" si="30"/>
        <v>9.377007064868337</v>
      </c>
      <c r="AX16" s="19">
        <f t="shared" si="31"/>
        <v>3.0104361787530105</v>
      </c>
      <c r="AY16" s="19">
        <f t="shared" si="18"/>
        <v>6.19781631342325</v>
      </c>
      <c r="AZ16" s="19">
        <f t="shared" si="19"/>
        <v>8.942744622841563</v>
      </c>
      <c r="BA16" s="19">
        <f t="shared" si="32"/>
        <v>3.311117843077855</v>
      </c>
      <c r="BB16" s="11">
        <f t="shared" si="33"/>
        <v>37.02574525745258</v>
      </c>
    </row>
    <row r="17" spans="1:54" ht="12.75">
      <c r="A17" s="1" t="s">
        <v>80</v>
      </c>
      <c r="B17" s="12" t="s">
        <v>16</v>
      </c>
      <c r="C17" s="4">
        <v>5866</v>
      </c>
      <c r="D17" s="4">
        <v>750</v>
      </c>
      <c r="E17" s="4">
        <f t="shared" si="0"/>
        <v>6616</v>
      </c>
      <c r="F17" s="4">
        <v>65</v>
      </c>
      <c r="G17" s="4">
        <v>2</v>
      </c>
      <c r="H17" s="4">
        <f t="shared" si="1"/>
        <v>67</v>
      </c>
      <c r="I17" s="13">
        <f t="shared" si="2"/>
        <v>1.0126964933494558</v>
      </c>
      <c r="J17" s="13">
        <f t="shared" si="3"/>
        <v>88.66384522370012</v>
      </c>
      <c r="K17" s="13">
        <f t="shared" si="4"/>
        <v>97.01492537313433</v>
      </c>
      <c r="L17" s="13">
        <f t="shared" si="20"/>
        <v>8.35108014943421</v>
      </c>
      <c r="M17" s="5">
        <v>1591</v>
      </c>
      <c r="O17" s="5">
        <f t="shared" si="21"/>
        <v>1591</v>
      </c>
      <c r="P17" s="5">
        <f>597+1</f>
        <v>598</v>
      </c>
      <c r="R17" s="5">
        <f t="shared" si="22"/>
        <v>598</v>
      </c>
      <c r="S17" s="14">
        <f t="shared" si="23"/>
        <v>37.586423632935265</v>
      </c>
      <c r="T17" s="6">
        <v>207</v>
      </c>
      <c r="U17" s="6"/>
      <c r="V17" s="6">
        <f t="shared" si="24"/>
        <v>207</v>
      </c>
      <c r="W17" s="6">
        <v>173</v>
      </c>
      <c r="X17" s="6"/>
      <c r="Y17" s="6">
        <f t="shared" si="25"/>
        <v>173</v>
      </c>
      <c r="Z17" s="15">
        <f t="shared" si="5"/>
        <v>83.57487922705315</v>
      </c>
      <c r="AA17" s="15" t="e">
        <f t="shared" si="6"/>
        <v>#DIV/0!</v>
      </c>
      <c r="AB17" s="7">
        <v>60</v>
      </c>
      <c r="AC17" s="7"/>
      <c r="AD17" s="7">
        <f t="shared" si="26"/>
        <v>60</v>
      </c>
      <c r="AE17" s="7">
        <v>8</v>
      </c>
      <c r="AF17" s="7"/>
      <c r="AG17" s="7">
        <f t="shared" si="27"/>
        <v>8</v>
      </c>
      <c r="AH17" s="16">
        <f t="shared" si="7"/>
        <v>13.333333333333334</v>
      </c>
      <c r="AI17" s="16" t="e">
        <f t="shared" si="8"/>
        <v>#DIV/0!</v>
      </c>
      <c r="AJ17" s="8">
        <f t="shared" si="9"/>
        <v>1858</v>
      </c>
      <c r="AK17" s="8">
        <f t="shared" si="10"/>
        <v>0</v>
      </c>
      <c r="AL17" s="8">
        <f t="shared" si="11"/>
        <v>1858</v>
      </c>
      <c r="AM17" s="8">
        <f t="shared" si="12"/>
        <v>779</v>
      </c>
      <c r="AN17" s="8">
        <f t="shared" si="13"/>
        <v>0</v>
      </c>
      <c r="AO17" s="8">
        <f t="shared" si="14"/>
        <v>779</v>
      </c>
      <c r="AP17" s="17">
        <f t="shared" si="28"/>
        <v>41.92680301399354</v>
      </c>
      <c r="AQ17" s="17" t="e">
        <f t="shared" si="29"/>
        <v>#DIV/0!</v>
      </c>
      <c r="AR17" s="17">
        <f t="shared" si="15"/>
        <v>41.92680301399354</v>
      </c>
      <c r="AS17" s="18">
        <v>17638</v>
      </c>
      <c r="AT17" s="18"/>
      <c r="AU17" s="18">
        <f t="shared" si="16"/>
        <v>17638</v>
      </c>
      <c r="AV17" s="19">
        <f t="shared" si="17"/>
        <v>10.534074158067808</v>
      </c>
      <c r="AW17" s="19" t="e">
        <f t="shared" si="30"/>
        <v>#DIV/0!</v>
      </c>
      <c r="AX17" s="19">
        <f t="shared" si="31"/>
        <v>4.416600521601088</v>
      </c>
      <c r="AY17" s="19" t="e">
        <f t="shared" si="18"/>
        <v>#DIV/0!</v>
      </c>
      <c r="AZ17" s="19">
        <f t="shared" si="19"/>
        <v>10.534074158067808</v>
      </c>
      <c r="BA17" s="19">
        <f t="shared" si="32"/>
        <v>4.416600521601088</v>
      </c>
      <c r="BB17" s="11">
        <f t="shared" si="33"/>
        <v>41.92680301399354</v>
      </c>
    </row>
    <row r="18" spans="1:54" ht="12.75">
      <c r="A18" s="1" t="s">
        <v>81</v>
      </c>
      <c r="B18" s="12" t="s">
        <v>17</v>
      </c>
      <c r="C18" s="4">
        <v>13140</v>
      </c>
      <c r="D18" s="4">
        <v>2466</v>
      </c>
      <c r="E18" s="4">
        <f t="shared" si="0"/>
        <v>15606</v>
      </c>
      <c r="F18" s="4">
        <v>1202</v>
      </c>
      <c r="G18" s="4">
        <v>82</v>
      </c>
      <c r="H18" s="4">
        <f t="shared" si="1"/>
        <v>1284</v>
      </c>
      <c r="I18" s="13">
        <f t="shared" si="2"/>
        <v>8.227604767397155</v>
      </c>
      <c r="J18" s="13">
        <f t="shared" si="3"/>
        <v>84.19838523644752</v>
      </c>
      <c r="K18" s="13">
        <f t="shared" si="4"/>
        <v>93.61370716510903</v>
      </c>
      <c r="L18" s="13">
        <f t="shared" si="20"/>
        <v>9.415321928661513</v>
      </c>
      <c r="M18" s="5">
        <f>3789+327</f>
        <v>4116</v>
      </c>
      <c r="O18" s="5">
        <f t="shared" si="21"/>
        <v>4116</v>
      </c>
      <c r="P18" s="5">
        <f>1432+3</f>
        <v>1435</v>
      </c>
      <c r="R18" s="5">
        <f t="shared" si="22"/>
        <v>1435</v>
      </c>
      <c r="S18" s="14">
        <f t="shared" si="23"/>
        <v>34.863945578231295</v>
      </c>
      <c r="T18" s="6">
        <v>855</v>
      </c>
      <c r="U18" s="6"/>
      <c r="V18" s="6">
        <f t="shared" si="24"/>
        <v>855</v>
      </c>
      <c r="W18" s="6">
        <v>697</v>
      </c>
      <c r="X18" s="6"/>
      <c r="Y18" s="6">
        <f t="shared" si="25"/>
        <v>697</v>
      </c>
      <c r="Z18" s="15">
        <f t="shared" si="5"/>
        <v>81.52046783625731</v>
      </c>
      <c r="AA18" s="15" t="e">
        <f t="shared" si="6"/>
        <v>#DIV/0!</v>
      </c>
      <c r="AB18" s="7">
        <v>72</v>
      </c>
      <c r="AC18" s="7"/>
      <c r="AD18" s="7">
        <f t="shared" si="26"/>
        <v>72</v>
      </c>
      <c r="AE18" s="7">
        <v>33</v>
      </c>
      <c r="AF18" s="7"/>
      <c r="AG18" s="7">
        <f t="shared" si="27"/>
        <v>33</v>
      </c>
      <c r="AH18" s="16">
        <f t="shared" si="7"/>
        <v>45.83333333333333</v>
      </c>
      <c r="AI18" s="16" t="e">
        <f t="shared" si="8"/>
        <v>#DIV/0!</v>
      </c>
      <c r="AJ18" s="8">
        <f t="shared" si="9"/>
        <v>5043</v>
      </c>
      <c r="AK18" s="8">
        <f t="shared" si="10"/>
        <v>0</v>
      </c>
      <c r="AL18" s="8">
        <f t="shared" si="11"/>
        <v>5043</v>
      </c>
      <c r="AM18" s="8">
        <f t="shared" si="12"/>
        <v>2165</v>
      </c>
      <c r="AN18" s="8">
        <f t="shared" si="13"/>
        <v>0</v>
      </c>
      <c r="AO18" s="8">
        <f t="shared" si="14"/>
        <v>2165</v>
      </c>
      <c r="AP18" s="17">
        <f t="shared" si="28"/>
        <v>42.93079516161015</v>
      </c>
      <c r="AQ18" s="17" t="e">
        <f t="shared" si="29"/>
        <v>#DIV/0!</v>
      </c>
      <c r="AR18" s="17">
        <f t="shared" si="15"/>
        <v>42.93079516161015</v>
      </c>
      <c r="AS18" s="18">
        <v>61108</v>
      </c>
      <c r="AT18" s="18"/>
      <c r="AU18" s="18">
        <f t="shared" si="16"/>
        <v>61108</v>
      </c>
      <c r="AV18" s="19">
        <f t="shared" si="17"/>
        <v>8.25260195064476</v>
      </c>
      <c r="AW18" s="19" t="e">
        <f t="shared" si="30"/>
        <v>#DIV/0!</v>
      </c>
      <c r="AX18" s="19">
        <f t="shared" si="31"/>
        <v>3.542907638934346</v>
      </c>
      <c r="AY18" s="19" t="e">
        <f t="shared" si="18"/>
        <v>#DIV/0!</v>
      </c>
      <c r="AZ18" s="19">
        <f t="shared" si="19"/>
        <v>8.25260195064476</v>
      </c>
      <c r="BA18" s="19">
        <f t="shared" si="32"/>
        <v>3.542907638934346</v>
      </c>
      <c r="BB18" s="11">
        <f t="shared" si="33"/>
        <v>42.930795161610156</v>
      </c>
    </row>
    <row r="19" spans="1:54" ht="12.75">
      <c r="A19" s="1" t="s">
        <v>82</v>
      </c>
      <c r="B19" s="12" t="s">
        <v>18</v>
      </c>
      <c r="C19" s="4">
        <v>24409</v>
      </c>
      <c r="D19" s="4">
        <v>4412</v>
      </c>
      <c r="E19" s="4">
        <f t="shared" si="0"/>
        <v>28821</v>
      </c>
      <c r="F19" s="4">
        <v>3148</v>
      </c>
      <c r="G19" s="4">
        <v>156</v>
      </c>
      <c r="H19" s="4">
        <f t="shared" si="1"/>
        <v>3304</v>
      </c>
      <c r="I19" s="13">
        <f t="shared" si="2"/>
        <v>11.463863155338123</v>
      </c>
      <c r="J19" s="13">
        <f t="shared" si="3"/>
        <v>84.69171784462718</v>
      </c>
      <c r="K19" s="13">
        <f t="shared" si="4"/>
        <v>95.27845036319611</v>
      </c>
      <c r="L19" s="13">
        <f t="shared" si="20"/>
        <v>10.586732518568937</v>
      </c>
      <c r="M19" s="5">
        <f>8056+794</f>
        <v>8850</v>
      </c>
      <c r="O19" s="5">
        <f t="shared" si="21"/>
        <v>8850</v>
      </c>
      <c r="P19" s="5">
        <f>3114+7</f>
        <v>3121</v>
      </c>
      <c r="R19" s="5">
        <f t="shared" si="22"/>
        <v>3121</v>
      </c>
      <c r="S19" s="14">
        <f t="shared" si="23"/>
        <v>35.26553672316384</v>
      </c>
      <c r="T19" s="6">
        <v>2346</v>
      </c>
      <c r="U19" s="6"/>
      <c r="V19" s="6">
        <f t="shared" si="24"/>
        <v>2346</v>
      </c>
      <c r="W19" s="6">
        <v>1473</v>
      </c>
      <c r="X19" s="6"/>
      <c r="Y19" s="6">
        <f t="shared" si="25"/>
        <v>1473</v>
      </c>
      <c r="Z19" s="15">
        <f t="shared" si="5"/>
        <v>62.787723785166236</v>
      </c>
      <c r="AA19" s="15" t="e">
        <f t="shared" si="6"/>
        <v>#DIV/0!</v>
      </c>
      <c r="AB19" s="7">
        <v>161</v>
      </c>
      <c r="AC19" s="7"/>
      <c r="AD19" s="7">
        <f t="shared" si="26"/>
        <v>161</v>
      </c>
      <c r="AE19" s="7">
        <v>85</v>
      </c>
      <c r="AF19" s="7"/>
      <c r="AG19" s="7">
        <f t="shared" si="27"/>
        <v>85</v>
      </c>
      <c r="AH19" s="16">
        <f t="shared" si="7"/>
        <v>52.79503105590062</v>
      </c>
      <c r="AI19" s="16" t="e">
        <f t="shared" si="8"/>
        <v>#DIV/0!</v>
      </c>
      <c r="AJ19" s="8">
        <f t="shared" si="9"/>
        <v>11357</v>
      </c>
      <c r="AK19" s="8">
        <f t="shared" si="10"/>
        <v>0</v>
      </c>
      <c r="AL19" s="8">
        <f t="shared" si="11"/>
        <v>11357</v>
      </c>
      <c r="AM19" s="8">
        <f t="shared" si="12"/>
        <v>4679</v>
      </c>
      <c r="AN19" s="8">
        <f t="shared" si="13"/>
        <v>0</v>
      </c>
      <c r="AO19" s="8">
        <f t="shared" si="14"/>
        <v>4679</v>
      </c>
      <c r="AP19" s="17">
        <f t="shared" si="28"/>
        <v>41.199260368054944</v>
      </c>
      <c r="AQ19" s="17" t="e">
        <f t="shared" si="29"/>
        <v>#DIV/0!</v>
      </c>
      <c r="AR19" s="17">
        <f t="shared" si="15"/>
        <v>41.199260368054944</v>
      </c>
      <c r="AS19" s="18">
        <v>97463</v>
      </c>
      <c r="AT19" s="18"/>
      <c r="AU19" s="18">
        <f t="shared" si="16"/>
        <v>97463</v>
      </c>
      <c r="AV19" s="19">
        <f t="shared" si="17"/>
        <v>11.652627150816206</v>
      </c>
      <c r="AW19" s="19" t="e">
        <f t="shared" si="30"/>
        <v>#DIV/0!</v>
      </c>
      <c r="AX19" s="19">
        <f t="shared" si="31"/>
        <v>4.800796199583432</v>
      </c>
      <c r="AY19" s="19" t="e">
        <f t="shared" si="18"/>
        <v>#DIV/0!</v>
      </c>
      <c r="AZ19" s="19">
        <f t="shared" si="19"/>
        <v>11.652627150816206</v>
      </c>
      <c r="BA19" s="19">
        <f t="shared" si="32"/>
        <v>4.800796199583432</v>
      </c>
      <c r="BB19" s="11">
        <f t="shared" si="33"/>
        <v>41.199260368054944</v>
      </c>
    </row>
    <row r="20" spans="1:54" ht="12.75">
      <c r="A20" s="1" t="s">
        <v>83</v>
      </c>
      <c r="B20" s="12" t="s">
        <v>19</v>
      </c>
      <c r="C20" s="4">
        <v>17396</v>
      </c>
      <c r="D20" s="4">
        <v>1210</v>
      </c>
      <c r="E20" s="4">
        <f t="shared" si="0"/>
        <v>18606</v>
      </c>
      <c r="F20" s="4">
        <v>3426</v>
      </c>
      <c r="G20" s="4">
        <v>72</v>
      </c>
      <c r="H20" s="4">
        <f t="shared" si="1"/>
        <v>3498</v>
      </c>
      <c r="I20" s="13">
        <f t="shared" si="2"/>
        <v>18.800386971944533</v>
      </c>
      <c r="J20" s="13">
        <f t="shared" si="3"/>
        <v>93.49672148769214</v>
      </c>
      <c r="K20" s="13">
        <f t="shared" si="4"/>
        <v>97.94168096054888</v>
      </c>
      <c r="L20" s="13">
        <f t="shared" si="20"/>
        <v>4.444959472856738</v>
      </c>
      <c r="M20" s="5">
        <f>5555+243</f>
        <v>5798</v>
      </c>
      <c r="N20" s="5">
        <v>1447</v>
      </c>
      <c r="O20" s="5">
        <f t="shared" si="21"/>
        <v>7245</v>
      </c>
      <c r="P20" s="5">
        <f>1954+2</f>
        <v>1956</v>
      </c>
      <c r="Q20" s="5">
        <v>1067</v>
      </c>
      <c r="R20" s="5">
        <f t="shared" si="22"/>
        <v>3023</v>
      </c>
      <c r="S20" s="14">
        <f t="shared" si="23"/>
        <v>41.725327812284334</v>
      </c>
      <c r="T20" s="6">
        <v>1593</v>
      </c>
      <c r="U20" s="6">
        <v>805</v>
      </c>
      <c r="V20" s="6">
        <f t="shared" si="24"/>
        <v>2398</v>
      </c>
      <c r="W20" s="6">
        <v>1131</v>
      </c>
      <c r="X20" s="6">
        <v>676</v>
      </c>
      <c r="Y20" s="6">
        <f t="shared" si="25"/>
        <v>1807</v>
      </c>
      <c r="Z20" s="15">
        <f t="shared" si="5"/>
        <v>70.99811676082862</v>
      </c>
      <c r="AA20" s="15">
        <f t="shared" si="6"/>
        <v>83.97515527950311</v>
      </c>
      <c r="AB20" s="7">
        <v>137</v>
      </c>
      <c r="AC20" s="7">
        <v>116</v>
      </c>
      <c r="AD20" s="7">
        <f t="shared" si="26"/>
        <v>253</v>
      </c>
      <c r="AE20" s="7">
        <v>50</v>
      </c>
      <c r="AF20" s="7">
        <v>81</v>
      </c>
      <c r="AG20" s="7">
        <f t="shared" si="27"/>
        <v>131</v>
      </c>
      <c r="AH20" s="16">
        <f t="shared" si="7"/>
        <v>36.496350364963504</v>
      </c>
      <c r="AI20" s="16">
        <f t="shared" si="8"/>
        <v>69.82758620689656</v>
      </c>
      <c r="AJ20" s="8">
        <f t="shared" si="9"/>
        <v>7528</v>
      </c>
      <c r="AK20" s="8">
        <f t="shared" si="10"/>
        <v>2368</v>
      </c>
      <c r="AL20" s="8">
        <f t="shared" si="11"/>
        <v>9896</v>
      </c>
      <c r="AM20" s="8">
        <f t="shared" si="12"/>
        <v>3137</v>
      </c>
      <c r="AN20" s="8">
        <f t="shared" si="13"/>
        <v>1824</v>
      </c>
      <c r="AO20" s="8">
        <f t="shared" si="14"/>
        <v>4961</v>
      </c>
      <c r="AP20" s="17">
        <f t="shared" si="28"/>
        <v>41.67109458023379</v>
      </c>
      <c r="AQ20" s="17">
        <f t="shared" si="29"/>
        <v>77.02702702702703</v>
      </c>
      <c r="AR20" s="17">
        <f t="shared" si="15"/>
        <v>50.13136620856912</v>
      </c>
      <c r="AS20" s="18">
        <v>70402</v>
      </c>
      <c r="AT20" s="18">
        <v>14984</v>
      </c>
      <c r="AU20" s="18">
        <f t="shared" si="16"/>
        <v>85386</v>
      </c>
      <c r="AV20" s="19">
        <f t="shared" si="17"/>
        <v>10.692878043237409</v>
      </c>
      <c r="AW20" s="19">
        <f t="shared" si="30"/>
        <v>15.803523758675922</v>
      </c>
      <c r="AX20" s="19">
        <f t="shared" si="31"/>
        <v>4.455839322746513</v>
      </c>
      <c r="AY20" s="19">
        <f t="shared" si="18"/>
        <v>12.17298451681794</v>
      </c>
      <c r="AZ20" s="19">
        <f t="shared" si="19"/>
        <v>11.589721968472583</v>
      </c>
      <c r="BA20" s="19">
        <f t="shared" si="32"/>
        <v>5.810085962569976</v>
      </c>
      <c r="BB20" s="11">
        <f t="shared" si="33"/>
        <v>50.13136620856912</v>
      </c>
    </row>
    <row r="21" spans="1:54" ht="12.75">
      <c r="A21" s="1" t="s">
        <v>84</v>
      </c>
      <c r="B21" s="12" t="s">
        <v>20</v>
      </c>
      <c r="C21" s="4">
        <v>14040</v>
      </c>
      <c r="D21" s="4">
        <v>7758</v>
      </c>
      <c r="E21" s="4">
        <f t="shared" si="0"/>
        <v>21798</v>
      </c>
      <c r="F21" s="4">
        <v>274</v>
      </c>
      <c r="G21" s="4">
        <v>16</v>
      </c>
      <c r="H21" s="4">
        <f t="shared" si="1"/>
        <v>290</v>
      </c>
      <c r="I21" s="13">
        <f t="shared" si="2"/>
        <v>1.3303972841545098</v>
      </c>
      <c r="J21" s="13">
        <f t="shared" si="3"/>
        <v>64.40957886044592</v>
      </c>
      <c r="K21" s="13">
        <f t="shared" si="4"/>
        <v>94.48275862068965</v>
      </c>
      <c r="L21" s="13">
        <f t="shared" si="20"/>
        <v>30.073179760243733</v>
      </c>
      <c r="M21" s="5">
        <f>3583+1125</f>
        <v>4708</v>
      </c>
      <c r="O21" s="5">
        <f t="shared" si="21"/>
        <v>4708</v>
      </c>
      <c r="P21" s="5">
        <f>1345+30</f>
        <v>1375</v>
      </c>
      <c r="R21" s="5">
        <f t="shared" si="22"/>
        <v>1375</v>
      </c>
      <c r="S21" s="14">
        <f t="shared" si="23"/>
        <v>29.205607476635514</v>
      </c>
      <c r="T21" s="6">
        <v>1187</v>
      </c>
      <c r="U21" s="6"/>
      <c r="V21" s="6">
        <f t="shared" si="24"/>
        <v>1187</v>
      </c>
      <c r="W21" s="6">
        <v>520</v>
      </c>
      <c r="X21" s="6"/>
      <c r="Y21" s="6">
        <f t="shared" si="25"/>
        <v>520</v>
      </c>
      <c r="Z21" s="15">
        <f t="shared" si="5"/>
        <v>43.807919123841614</v>
      </c>
      <c r="AA21" s="15" t="e">
        <f t="shared" si="6"/>
        <v>#DIV/0!</v>
      </c>
      <c r="AB21" s="7">
        <v>102</v>
      </c>
      <c r="AC21" s="7"/>
      <c r="AD21" s="7">
        <f t="shared" si="26"/>
        <v>102</v>
      </c>
      <c r="AE21" s="7">
        <v>29</v>
      </c>
      <c r="AF21" s="7"/>
      <c r="AG21" s="7">
        <f t="shared" si="27"/>
        <v>29</v>
      </c>
      <c r="AH21" s="16">
        <f t="shared" si="7"/>
        <v>28.431372549019606</v>
      </c>
      <c r="AI21" s="16" t="e">
        <f t="shared" si="8"/>
        <v>#DIV/0!</v>
      </c>
      <c r="AJ21" s="8">
        <f t="shared" si="9"/>
        <v>5997</v>
      </c>
      <c r="AK21" s="8">
        <f t="shared" si="10"/>
        <v>0</v>
      </c>
      <c r="AL21" s="8">
        <f t="shared" si="11"/>
        <v>5997</v>
      </c>
      <c r="AM21" s="8">
        <f t="shared" si="12"/>
        <v>1924</v>
      </c>
      <c r="AN21" s="8">
        <f t="shared" si="13"/>
        <v>0</v>
      </c>
      <c r="AO21" s="8">
        <f t="shared" si="14"/>
        <v>1924</v>
      </c>
      <c r="AP21" s="17">
        <f t="shared" si="28"/>
        <v>32.082708020677</v>
      </c>
      <c r="AQ21" s="17" t="e">
        <f t="shared" si="29"/>
        <v>#DIV/0!</v>
      </c>
      <c r="AR21" s="17">
        <f t="shared" si="15"/>
        <v>32.082708020677</v>
      </c>
      <c r="AS21" s="18">
        <v>55817</v>
      </c>
      <c r="AT21" s="18"/>
      <c r="AU21" s="18">
        <f t="shared" si="16"/>
        <v>55817</v>
      </c>
      <c r="AV21" s="19">
        <f t="shared" si="17"/>
        <v>10.74403855456223</v>
      </c>
      <c r="AW21" s="19" t="e">
        <f t="shared" si="30"/>
        <v>#DIV/0!</v>
      </c>
      <c r="AX21" s="19">
        <f t="shared" si="31"/>
        <v>3.446978519089167</v>
      </c>
      <c r="AY21" s="19" t="e">
        <f t="shared" si="18"/>
        <v>#DIV/0!</v>
      </c>
      <c r="AZ21" s="19">
        <f t="shared" si="19"/>
        <v>10.74403855456223</v>
      </c>
      <c r="BA21" s="19">
        <f t="shared" si="32"/>
        <v>3.446978519089167</v>
      </c>
      <c r="BB21" s="11">
        <f t="shared" si="33"/>
        <v>32.08270802067701</v>
      </c>
    </row>
    <row r="22" spans="1:54" ht="12.75">
      <c r="A22" s="1" t="s">
        <v>85</v>
      </c>
      <c r="B22" s="12" t="s">
        <v>21</v>
      </c>
      <c r="C22" s="4">
        <v>2978</v>
      </c>
      <c r="D22" s="4">
        <v>530</v>
      </c>
      <c r="E22" s="4">
        <f t="shared" si="0"/>
        <v>3508</v>
      </c>
      <c r="F22" s="4">
        <v>152</v>
      </c>
      <c r="G22" s="4">
        <v>2</v>
      </c>
      <c r="H22" s="4">
        <f t="shared" si="1"/>
        <v>154</v>
      </c>
      <c r="I22" s="13">
        <f t="shared" si="2"/>
        <v>4.389965792474344</v>
      </c>
      <c r="J22" s="13">
        <f t="shared" si="3"/>
        <v>84.89167616875713</v>
      </c>
      <c r="K22" s="13">
        <f t="shared" si="4"/>
        <v>98.7012987012987</v>
      </c>
      <c r="L22" s="13">
        <f t="shared" si="20"/>
        <v>13.809622532541567</v>
      </c>
      <c r="M22" s="5">
        <v>1045</v>
      </c>
      <c r="O22" s="5">
        <f t="shared" si="21"/>
        <v>1045</v>
      </c>
      <c r="P22" s="5">
        <v>396</v>
      </c>
      <c r="R22" s="5">
        <f t="shared" si="22"/>
        <v>396</v>
      </c>
      <c r="S22" s="14">
        <f t="shared" si="23"/>
        <v>37.89473684210527</v>
      </c>
      <c r="T22" s="6">
        <v>136</v>
      </c>
      <c r="U22" s="6"/>
      <c r="V22" s="6">
        <f t="shared" si="24"/>
        <v>136</v>
      </c>
      <c r="W22" s="6">
        <v>106</v>
      </c>
      <c r="X22" s="6"/>
      <c r="Y22" s="6">
        <f t="shared" si="25"/>
        <v>106</v>
      </c>
      <c r="Z22" s="15">
        <f t="shared" si="5"/>
        <v>77.94117647058823</v>
      </c>
      <c r="AA22" s="15" t="e">
        <f t="shared" si="6"/>
        <v>#DIV/0!</v>
      </c>
      <c r="AB22" s="7">
        <v>18</v>
      </c>
      <c r="AC22" s="7"/>
      <c r="AD22" s="7">
        <f t="shared" si="26"/>
        <v>18</v>
      </c>
      <c r="AE22" s="7">
        <v>5</v>
      </c>
      <c r="AF22" s="7"/>
      <c r="AG22" s="7">
        <f t="shared" si="27"/>
        <v>5</v>
      </c>
      <c r="AH22" s="16">
        <f t="shared" si="7"/>
        <v>27.77777777777778</v>
      </c>
      <c r="AI22" s="16" t="e">
        <f t="shared" si="8"/>
        <v>#DIV/0!</v>
      </c>
      <c r="AJ22" s="8">
        <f t="shared" si="9"/>
        <v>1199</v>
      </c>
      <c r="AK22" s="8">
        <f t="shared" si="10"/>
        <v>0</v>
      </c>
      <c r="AL22" s="8">
        <f t="shared" si="11"/>
        <v>1199</v>
      </c>
      <c r="AM22" s="8">
        <f t="shared" si="12"/>
        <v>507</v>
      </c>
      <c r="AN22" s="8">
        <f t="shared" si="13"/>
        <v>0</v>
      </c>
      <c r="AO22" s="8">
        <f t="shared" si="14"/>
        <v>507</v>
      </c>
      <c r="AP22" s="17">
        <f t="shared" si="28"/>
        <v>42.28523769808174</v>
      </c>
      <c r="AQ22" s="17" t="e">
        <f t="shared" si="29"/>
        <v>#DIV/0!</v>
      </c>
      <c r="AR22" s="17">
        <f t="shared" si="15"/>
        <v>42.28523769808174</v>
      </c>
      <c r="AS22" s="18">
        <v>12293</v>
      </c>
      <c r="AT22" s="18"/>
      <c r="AU22" s="18">
        <f t="shared" si="16"/>
        <v>12293</v>
      </c>
      <c r="AV22" s="19">
        <f t="shared" si="17"/>
        <v>9.753518262425771</v>
      </c>
      <c r="AW22" s="19" t="e">
        <f t="shared" si="30"/>
        <v>#DIV/0!</v>
      </c>
      <c r="AX22" s="19">
        <f t="shared" si="31"/>
        <v>4.124298381192549</v>
      </c>
      <c r="AY22" s="19" t="e">
        <f t="shared" si="18"/>
        <v>#DIV/0!</v>
      </c>
      <c r="AZ22" s="19">
        <f t="shared" si="19"/>
        <v>9.753518262425771</v>
      </c>
      <c r="BA22" s="19">
        <f t="shared" si="32"/>
        <v>4.124298381192549</v>
      </c>
      <c r="BB22" s="11">
        <f t="shared" si="33"/>
        <v>42.28523769808174</v>
      </c>
    </row>
    <row r="23" spans="1:54" ht="12.75">
      <c r="A23" s="1" t="s">
        <v>86</v>
      </c>
      <c r="B23" s="12" t="s">
        <v>22</v>
      </c>
      <c r="C23" s="4">
        <v>6217</v>
      </c>
      <c r="D23" s="4">
        <v>1033</v>
      </c>
      <c r="E23" s="4">
        <f t="shared" si="0"/>
        <v>7250</v>
      </c>
      <c r="F23" s="4">
        <v>282</v>
      </c>
      <c r="G23" s="4">
        <v>23</v>
      </c>
      <c r="H23" s="4">
        <f t="shared" si="1"/>
        <v>305</v>
      </c>
      <c r="I23" s="13">
        <f t="shared" si="2"/>
        <v>4.206896551724138</v>
      </c>
      <c r="J23" s="13">
        <f t="shared" si="3"/>
        <v>85.75172413793103</v>
      </c>
      <c r="K23" s="13">
        <f t="shared" si="4"/>
        <v>92.45901639344262</v>
      </c>
      <c r="L23" s="13">
        <f t="shared" si="20"/>
        <v>6.7072922555115895</v>
      </c>
      <c r="M23" s="5">
        <f>1808+169</f>
        <v>1977</v>
      </c>
      <c r="O23" s="5">
        <f t="shared" si="21"/>
        <v>1977</v>
      </c>
      <c r="P23" s="5">
        <v>814</v>
      </c>
      <c r="R23" s="5">
        <f t="shared" si="22"/>
        <v>814</v>
      </c>
      <c r="S23" s="14">
        <f t="shared" si="23"/>
        <v>41.17349519473951</v>
      </c>
      <c r="T23" s="6">
        <v>756</v>
      </c>
      <c r="U23" s="6"/>
      <c r="V23" s="6">
        <f t="shared" si="24"/>
        <v>756</v>
      </c>
      <c r="W23" s="6">
        <v>377</v>
      </c>
      <c r="X23" s="6"/>
      <c r="Y23" s="6">
        <f t="shared" si="25"/>
        <v>377</v>
      </c>
      <c r="Z23" s="15">
        <f t="shared" si="5"/>
        <v>49.86772486772487</v>
      </c>
      <c r="AA23" s="15" t="e">
        <f t="shared" si="6"/>
        <v>#DIV/0!</v>
      </c>
      <c r="AB23" s="7">
        <v>165</v>
      </c>
      <c r="AC23" s="7"/>
      <c r="AD23" s="7">
        <f t="shared" si="26"/>
        <v>165</v>
      </c>
      <c r="AE23" s="7">
        <v>29</v>
      </c>
      <c r="AF23" s="7"/>
      <c r="AG23" s="7">
        <f t="shared" si="27"/>
        <v>29</v>
      </c>
      <c r="AH23" s="16">
        <f t="shared" si="7"/>
        <v>17.575757575757574</v>
      </c>
      <c r="AI23" s="16" t="e">
        <f t="shared" si="8"/>
        <v>#DIV/0!</v>
      </c>
      <c r="AJ23" s="8">
        <f t="shared" si="9"/>
        <v>2898</v>
      </c>
      <c r="AK23" s="8">
        <f t="shared" si="10"/>
        <v>0</v>
      </c>
      <c r="AL23" s="8">
        <f t="shared" si="11"/>
        <v>2898</v>
      </c>
      <c r="AM23" s="8">
        <f t="shared" si="12"/>
        <v>1220</v>
      </c>
      <c r="AN23" s="8">
        <f t="shared" si="13"/>
        <v>0</v>
      </c>
      <c r="AO23" s="8">
        <f t="shared" si="14"/>
        <v>1220</v>
      </c>
      <c r="AP23" s="17">
        <f t="shared" si="28"/>
        <v>42.097998619737744</v>
      </c>
      <c r="AQ23" s="17" t="e">
        <f t="shared" si="29"/>
        <v>#DIV/0!</v>
      </c>
      <c r="AR23" s="17">
        <f t="shared" si="15"/>
        <v>42.097998619737744</v>
      </c>
      <c r="AS23" s="18">
        <v>29113</v>
      </c>
      <c r="AT23" s="18"/>
      <c r="AU23" s="18">
        <f t="shared" si="16"/>
        <v>29113</v>
      </c>
      <c r="AV23" s="19">
        <f t="shared" si="17"/>
        <v>9.954315941332052</v>
      </c>
      <c r="AW23" s="19" t="e">
        <f t="shared" si="30"/>
        <v>#DIV/0!</v>
      </c>
      <c r="AX23" s="19">
        <f t="shared" si="31"/>
        <v>4.190567787586302</v>
      </c>
      <c r="AY23" s="19" t="e">
        <f t="shared" si="18"/>
        <v>#DIV/0!</v>
      </c>
      <c r="AZ23" s="19">
        <f t="shared" si="19"/>
        <v>9.954315941332052</v>
      </c>
      <c r="BA23" s="19">
        <f t="shared" si="32"/>
        <v>4.190567787586302</v>
      </c>
      <c r="BB23" s="11">
        <f t="shared" si="33"/>
        <v>42.097998619737744</v>
      </c>
    </row>
    <row r="24" spans="1:54" ht="12.75">
      <c r="A24" s="1" t="s">
        <v>87</v>
      </c>
      <c r="B24" s="12" t="s">
        <v>23</v>
      </c>
      <c r="C24" s="4">
        <f>34446+156+1529+217+369</f>
        <v>36717</v>
      </c>
      <c r="D24" s="4">
        <f>7183+78+1498+134+668</f>
        <v>9561</v>
      </c>
      <c r="E24" s="4">
        <f t="shared" si="0"/>
        <v>46278</v>
      </c>
      <c r="F24" s="4">
        <f>17107+33+767+142+184</f>
        <v>18233</v>
      </c>
      <c r="G24" s="4">
        <f>2221+2+576+89+281</f>
        <v>3169</v>
      </c>
      <c r="H24" s="4">
        <f t="shared" si="1"/>
        <v>21402</v>
      </c>
      <c r="I24" s="13">
        <f t="shared" si="2"/>
        <v>46.24659665499806</v>
      </c>
      <c r="J24" s="13">
        <f t="shared" si="3"/>
        <v>79.34007519771814</v>
      </c>
      <c r="K24" s="13">
        <f t="shared" si="4"/>
        <v>85.19297261938137</v>
      </c>
      <c r="L24" s="13">
        <f t="shared" si="20"/>
        <v>5.852897421663229</v>
      </c>
      <c r="M24" s="5">
        <v>15527</v>
      </c>
      <c r="N24" s="5">
        <f>792+1519+890+755+13+58+15+13</f>
        <v>4055</v>
      </c>
      <c r="O24" s="5">
        <f t="shared" si="21"/>
        <v>19582</v>
      </c>
      <c r="P24" s="5">
        <v>6439</v>
      </c>
      <c r="Q24" s="5">
        <f>511+960+629+447+2+9+3+5</f>
        <v>2566</v>
      </c>
      <c r="R24" s="5">
        <f t="shared" si="22"/>
        <v>9005</v>
      </c>
      <c r="S24" s="14">
        <f t="shared" si="23"/>
        <v>45.986109692574814</v>
      </c>
      <c r="T24" s="6">
        <v>3691</v>
      </c>
      <c r="U24" s="6">
        <f>285+609+462+275</f>
        <v>1631</v>
      </c>
      <c r="V24" s="6">
        <f t="shared" si="24"/>
        <v>5322</v>
      </c>
      <c r="W24" s="6">
        <v>2610</v>
      </c>
      <c r="X24" s="6">
        <f>197+448+39+344+10+200</f>
        <v>1238</v>
      </c>
      <c r="Y24" s="6">
        <f t="shared" si="25"/>
        <v>3848</v>
      </c>
      <c r="Z24" s="15">
        <f t="shared" si="5"/>
        <v>70.71254402600921</v>
      </c>
      <c r="AA24" s="15">
        <f t="shared" si="6"/>
        <v>75.90435315757205</v>
      </c>
      <c r="AB24" s="7">
        <v>831</v>
      </c>
      <c r="AC24" s="7">
        <f>153+217+175+73</f>
        <v>618</v>
      </c>
      <c r="AD24" s="7">
        <f t="shared" si="26"/>
        <v>1449</v>
      </c>
      <c r="AE24" s="7">
        <v>229</v>
      </c>
      <c r="AF24" s="7">
        <f>61+140+92+36</f>
        <v>329</v>
      </c>
      <c r="AG24" s="7">
        <f t="shared" si="27"/>
        <v>558</v>
      </c>
      <c r="AH24" s="16">
        <f t="shared" si="7"/>
        <v>27.557160048134776</v>
      </c>
      <c r="AI24" s="16">
        <f t="shared" si="8"/>
        <v>53.23624595469255</v>
      </c>
      <c r="AJ24" s="8">
        <f t="shared" si="9"/>
        <v>20049</v>
      </c>
      <c r="AK24" s="8">
        <f t="shared" si="10"/>
        <v>6304</v>
      </c>
      <c r="AL24" s="8">
        <f t="shared" si="11"/>
        <v>26353</v>
      </c>
      <c r="AM24" s="8">
        <f t="shared" si="12"/>
        <v>9278</v>
      </c>
      <c r="AN24" s="8">
        <f t="shared" si="13"/>
        <v>4133</v>
      </c>
      <c r="AO24" s="8">
        <f t="shared" si="14"/>
        <v>13411</v>
      </c>
      <c r="AP24" s="17">
        <f t="shared" si="28"/>
        <v>46.27662227542521</v>
      </c>
      <c r="AQ24" s="17">
        <f t="shared" si="29"/>
        <v>65.56154822335026</v>
      </c>
      <c r="AR24" s="17">
        <f t="shared" si="15"/>
        <v>50.889841763746055</v>
      </c>
      <c r="AS24" s="18">
        <v>153841</v>
      </c>
      <c r="AT24" s="18">
        <f>4793+22002+7580+7470</f>
        <v>41845</v>
      </c>
      <c r="AU24" s="18">
        <f t="shared" si="16"/>
        <v>195686</v>
      </c>
      <c r="AV24" s="19">
        <f t="shared" si="17"/>
        <v>13.032286581600482</v>
      </c>
      <c r="AW24" s="19">
        <f t="shared" si="30"/>
        <v>15.065121280917673</v>
      </c>
      <c r="AX24" s="19">
        <f t="shared" si="31"/>
        <v>6.03090203521818</v>
      </c>
      <c r="AY24" s="19">
        <f t="shared" si="18"/>
        <v>9.876926753495042</v>
      </c>
      <c r="AZ24" s="19">
        <f t="shared" si="19"/>
        <v>13.466982819414778</v>
      </c>
      <c r="BA24" s="19">
        <f t="shared" si="32"/>
        <v>6.853326247151048</v>
      </c>
      <c r="BB24" s="11">
        <f t="shared" si="33"/>
        <v>50.889841763746055</v>
      </c>
    </row>
    <row r="25" spans="1:54" ht="12.75">
      <c r="A25" s="1" t="s">
        <v>88</v>
      </c>
      <c r="B25" s="12" t="s">
        <v>24</v>
      </c>
      <c r="C25" s="4">
        <f>5184+3764+2394</f>
        <v>11342</v>
      </c>
      <c r="D25" s="4">
        <f>2376+546+1452</f>
        <v>4374</v>
      </c>
      <c r="E25" s="4">
        <f t="shared" si="0"/>
        <v>15716</v>
      </c>
      <c r="F25" s="4">
        <f>1170+1708+461</f>
        <v>3339</v>
      </c>
      <c r="G25" s="4">
        <f>218+120+164</f>
        <v>502</v>
      </c>
      <c r="H25" s="4">
        <f t="shared" si="1"/>
        <v>3841</v>
      </c>
      <c r="I25" s="13">
        <f t="shared" si="2"/>
        <v>24.440061084245354</v>
      </c>
      <c r="J25" s="13">
        <f t="shared" si="3"/>
        <v>72.16849071010435</v>
      </c>
      <c r="K25" s="13">
        <f t="shared" si="4"/>
        <v>86.93048685238219</v>
      </c>
      <c r="L25" s="13">
        <f t="shared" si="20"/>
        <v>14.761996142277837</v>
      </c>
      <c r="M25" s="5">
        <v>2282</v>
      </c>
      <c r="N25" s="5">
        <f>3331+68</f>
        <v>3399</v>
      </c>
      <c r="O25" s="5">
        <f t="shared" si="21"/>
        <v>5681</v>
      </c>
      <c r="P25" s="5">
        <f>783+10</f>
        <v>793</v>
      </c>
      <c r="Q25" s="5">
        <f>2175+7</f>
        <v>2182</v>
      </c>
      <c r="R25" s="5">
        <f t="shared" si="22"/>
        <v>2975</v>
      </c>
      <c r="S25" s="14">
        <f t="shared" si="23"/>
        <v>52.36754092589333</v>
      </c>
      <c r="T25" s="6">
        <v>584</v>
      </c>
      <c r="U25" s="6">
        <f>382+723</f>
        <v>1105</v>
      </c>
      <c r="V25" s="6">
        <f t="shared" si="24"/>
        <v>1689</v>
      </c>
      <c r="W25" s="6">
        <v>351</v>
      </c>
      <c r="X25" s="6">
        <f>257+618</f>
        <v>875</v>
      </c>
      <c r="Y25" s="6">
        <f t="shared" si="25"/>
        <v>1226</v>
      </c>
      <c r="Z25" s="15">
        <f t="shared" si="5"/>
        <v>60.1027397260274</v>
      </c>
      <c r="AA25" s="15">
        <f t="shared" si="6"/>
        <v>79.18552036199095</v>
      </c>
      <c r="AB25" s="7">
        <v>170</v>
      </c>
      <c r="AC25" s="7">
        <v>380</v>
      </c>
      <c r="AD25" s="7">
        <f t="shared" si="26"/>
        <v>550</v>
      </c>
      <c r="AE25" s="7">
        <v>54</v>
      </c>
      <c r="AF25" s="7">
        <f>31+225</f>
        <v>256</v>
      </c>
      <c r="AG25" s="7">
        <f t="shared" si="27"/>
        <v>310</v>
      </c>
      <c r="AH25" s="16">
        <f t="shared" si="7"/>
        <v>31.76470588235294</v>
      </c>
      <c r="AI25" s="16">
        <f t="shared" si="8"/>
        <v>67.36842105263158</v>
      </c>
      <c r="AJ25" s="8">
        <f t="shared" si="9"/>
        <v>3036</v>
      </c>
      <c r="AK25" s="8">
        <f t="shared" si="10"/>
        <v>4884</v>
      </c>
      <c r="AL25" s="8">
        <f t="shared" si="11"/>
        <v>7920</v>
      </c>
      <c r="AM25" s="8">
        <f t="shared" si="12"/>
        <v>1198</v>
      </c>
      <c r="AN25" s="8">
        <f t="shared" si="13"/>
        <v>3313</v>
      </c>
      <c r="AO25" s="8">
        <f t="shared" si="14"/>
        <v>4511</v>
      </c>
      <c r="AP25" s="17">
        <f t="shared" si="28"/>
        <v>39.45981554677207</v>
      </c>
      <c r="AQ25" s="17">
        <f t="shared" si="29"/>
        <v>67.83374283374283</v>
      </c>
      <c r="AR25" s="17">
        <f t="shared" si="15"/>
        <v>56.95707070707071</v>
      </c>
      <c r="AS25" s="18">
        <v>34666</v>
      </c>
      <c r="AT25" s="18">
        <f>17032+26742</f>
        <v>43774</v>
      </c>
      <c r="AU25" s="18">
        <f t="shared" si="16"/>
        <v>78440</v>
      </c>
      <c r="AV25" s="19">
        <f t="shared" si="17"/>
        <v>8.757860728090924</v>
      </c>
      <c r="AW25" s="19">
        <f t="shared" si="30"/>
        <v>11.157307991044913</v>
      </c>
      <c r="AX25" s="19">
        <f t="shared" si="31"/>
        <v>3.455835689147868</v>
      </c>
      <c r="AY25" s="19">
        <f t="shared" si="18"/>
        <v>7.568419609814045</v>
      </c>
      <c r="AZ25" s="19">
        <f t="shared" si="19"/>
        <v>10.09688934217236</v>
      </c>
      <c r="BA25" s="19">
        <f t="shared" si="32"/>
        <v>5.750892401835798</v>
      </c>
      <c r="BB25" s="11">
        <f t="shared" si="33"/>
        <v>56.95707070707071</v>
      </c>
    </row>
    <row r="26" spans="1:54" ht="12.75">
      <c r="A26" s="1" t="s">
        <v>89</v>
      </c>
      <c r="B26" s="12" t="s">
        <v>25</v>
      </c>
      <c r="C26" s="4">
        <v>11828</v>
      </c>
      <c r="D26" s="4">
        <v>3981</v>
      </c>
      <c r="E26" s="4">
        <f t="shared" si="0"/>
        <v>15809</v>
      </c>
      <c r="F26" s="4">
        <v>1564</v>
      </c>
      <c r="G26" s="4">
        <v>220</v>
      </c>
      <c r="H26" s="4">
        <f t="shared" si="1"/>
        <v>1784</v>
      </c>
      <c r="I26" s="13">
        <f t="shared" si="2"/>
        <v>11.284711240432665</v>
      </c>
      <c r="J26" s="13">
        <f t="shared" si="3"/>
        <v>74.81814156493137</v>
      </c>
      <c r="K26" s="13">
        <f t="shared" si="4"/>
        <v>87.66816143497758</v>
      </c>
      <c r="L26" s="13">
        <f t="shared" si="20"/>
        <v>12.85001987004621</v>
      </c>
      <c r="M26" s="5">
        <f>4073+397</f>
        <v>4470</v>
      </c>
      <c r="O26" s="5">
        <f t="shared" si="21"/>
        <v>4470</v>
      </c>
      <c r="P26" s="5">
        <f>1601+3</f>
        <v>1604</v>
      </c>
      <c r="R26" s="5">
        <f t="shared" si="22"/>
        <v>1604</v>
      </c>
      <c r="S26" s="14">
        <f t="shared" si="23"/>
        <v>35.883668903803134</v>
      </c>
      <c r="T26" s="6">
        <v>1057</v>
      </c>
      <c r="U26" s="6"/>
      <c r="V26" s="6">
        <f t="shared" si="24"/>
        <v>1057</v>
      </c>
      <c r="W26" s="6">
        <v>729</v>
      </c>
      <c r="X26" s="6"/>
      <c r="Y26" s="6">
        <f t="shared" si="25"/>
        <v>729</v>
      </c>
      <c r="Z26" s="15">
        <f t="shared" si="5"/>
        <v>68.96877956480606</v>
      </c>
      <c r="AA26" s="15" t="e">
        <f t="shared" si="6"/>
        <v>#DIV/0!</v>
      </c>
      <c r="AB26" s="7">
        <v>205</v>
      </c>
      <c r="AC26" s="7"/>
      <c r="AD26" s="7">
        <f t="shared" si="26"/>
        <v>205</v>
      </c>
      <c r="AE26" s="7">
        <v>68</v>
      </c>
      <c r="AF26" s="7"/>
      <c r="AG26" s="7">
        <f t="shared" si="27"/>
        <v>68</v>
      </c>
      <c r="AH26" s="16">
        <f t="shared" si="7"/>
        <v>33.170731707317074</v>
      </c>
      <c r="AI26" s="16" t="e">
        <f t="shared" si="8"/>
        <v>#DIV/0!</v>
      </c>
      <c r="AJ26" s="8">
        <f t="shared" si="9"/>
        <v>5732</v>
      </c>
      <c r="AK26" s="8">
        <f t="shared" si="10"/>
        <v>0</v>
      </c>
      <c r="AL26" s="8">
        <f t="shared" si="11"/>
        <v>5732</v>
      </c>
      <c r="AM26" s="8">
        <f t="shared" si="12"/>
        <v>2401</v>
      </c>
      <c r="AN26" s="8">
        <f t="shared" si="13"/>
        <v>0</v>
      </c>
      <c r="AO26" s="8">
        <f t="shared" si="14"/>
        <v>2401</v>
      </c>
      <c r="AP26" s="17">
        <f t="shared" si="28"/>
        <v>41.88764829030007</v>
      </c>
      <c r="AQ26" s="17" t="e">
        <f t="shared" si="29"/>
        <v>#DIV/0!</v>
      </c>
      <c r="AR26" s="17">
        <f t="shared" si="15"/>
        <v>41.88764829030007</v>
      </c>
      <c r="AS26" s="18">
        <v>62351</v>
      </c>
      <c r="AT26" s="18"/>
      <c r="AU26" s="18">
        <f t="shared" si="16"/>
        <v>62351</v>
      </c>
      <c r="AV26" s="19">
        <f t="shared" si="17"/>
        <v>9.193116389472502</v>
      </c>
      <c r="AW26" s="19" t="e">
        <f t="shared" si="30"/>
        <v>#DIV/0!</v>
      </c>
      <c r="AX26" s="19">
        <f t="shared" si="31"/>
        <v>3.850780260140174</v>
      </c>
      <c r="AY26" s="19" t="e">
        <f t="shared" si="18"/>
        <v>#DIV/0!</v>
      </c>
      <c r="AZ26" s="19">
        <f t="shared" si="19"/>
        <v>9.193116389472502</v>
      </c>
      <c r="BA26" s="19">
        <f t="shared" si="32"/>
        <v>3.850780260140174</v>
      </c>
      <c r="BB26" s="11">
        <f t="shared" si="33"/>
        <v>41.88764829030007</v>
      </c>
    </row>
    <row r="27" spans="1:54" ht="12.75">
      <c r="A27" s="1" t="s">
        <v>90</v>
      </c>
      <c r="B27" s="12" t="s">
        <v>26</v>
      </c>
      <c r="C27" s="4">
        <v>18359</v>
      </c>
      <c r="D27" s="4">
        <v>3371</v>
      </c>
      <c r="E27" s="4">
        <f t="shared" si="0"/>
        <v>21730</v>
      </c>
      <c r="F27" s="4">
        <v>5759</v>
      </c>
      <c r="G27" s="4">
        <v>542</v>
      </c>
      <c r="H27" s="4">
        <f t="shared" si="1"/>
        <v>6301</v>
      </c>
      <c r="I27" s="13">
        <f t="shared" si="2"/>
        <v>28.99677864703175</v>
      </c>
      <c r="J27" s="13">
        <f t="shared" si="3"/>
        <v>84.48688449148642</v>
      </c>
      <c r="K27" s="13">
        <f t="shared" si="4"/>
        <v>91.39819076337089</v>
      </c>
      <c r="L27" s="13">
        <f t="shared" si="20"/>
        <v>6.91130627188447</v>
      </c>
      <c r="M27" s="5">
        <f>6968+349</f>
        <v>7317</v>
      </c>
      <c r="O27" s="5">
        <f t="shared" si="21"/>
        <v>7317</v>
      </c>
      <c r="P27" s="5">
        <f>2774+19</f>
        <v>2793</v>
      </c>
      <c r="R27" s="5">
        <f t="shared" si="22"/>
        <v>2793</v>
      </c>
      <c r="S27" s="14">
        <f t="shared" si="23"/>
        <v>38.17138171381714</v>
      </c>
      <c r="T27" s="6">
        <v>1526</v>
      </c>
      <c r="U27" s="6"/>
      <c r="V27" s="6">
        <f t="shared" si="24"/>
        <v>1526</v>
      </c>
      <c r="W27" s="6">
        <v>1068</v>
      </c>
      <c r="X27" s="6"/>
      <c r="Y27" s="6">
        <f t="shared" si="25"/>
        <v>1068</v>
      </c>
      <c r="Z27" s="15">
        <f t="shared" si="5"/>
        <v>69.98689384010484</v>
      </c>
      <c r="AA27" s="15" t="e">
        <f t="shared" si="6"/>
        <v>#DIV/0!</v>
      </c>
      <c r="AB27" s="7">
        <v>353</v>
      </c>
      <c r="AC27" s="7"/>
      <c r="AD27" s="7">
        <f t="shared" si="26"/>
        <v>353</v>
      </c>
      <c r="AE27" s="7">
        <v>138</v>
      </c>
      <c r="AF27" s="7"/>
      <c r="AG27" s="7">
        <f t="shared" si="27"/>
        <v>138</v>
      </c>
      <c r="AH27" s="16">
        <f t="shared" si="7"/>
        <v>39.09348441926346</v>
      </c>
      <c r="AI27" s="16" t="e">
        <f t="shared" si="8"/>
        <v>#DIV/0!</v>
      </c>
      <c r="AJ27" s="8">
        <f t="shared" si="9"/>
        <v>9196</v>
      </c>
      <c r="AK27" s="8">
        <f t="shared" si="10"/>
        <v>0</v>
      </c>
      <c r="AL27" s="8">
        <f t="shared" si="11"/>
        <v>9196</v>
      </c>
      <c r="AM27" s="8">
        <f t="shared" si="12"/>
        <v>3999</v>
      </c>
      <c r="AN27" s="8">
        <f t="shared" si="13"/>
        <v>0</v>
      </c>
      <c r="AO27" s="8">
        <f t="shared" si="14"/>
        <v>3999</v>
      </c>
      <c r="AP27" s="17">
        <f t="shared" si="28"/>
        <v>43.48629839060461</v>
      </c>
      <c r="AQ27" s="17" t="e">
        <f t="shared" si="29"/>
        <v>#DIV/0!</v>
      </c>
      <c r="AR27" s="17">
        <f t="shared" si="15"/>
        <v>43.48629839060461</v>
      </c>
      <c r="AS27" s="18">
        <v>89398</v>
      </c>
      <c r="AT27" s="18"/>
      <c r="AU27" s="18">
        <f t="shared" si="16"/>
        <v>89398</v>
      </c>
      <c r="AV27" s="19">
        <f t="shared" si="17"/>
        <v>10.286583592474106</v>
      </c>
      <c r="AW27" s="19" t="e">
        <f t="shared" si="30"/>
        <v>#DIV/0!</v>
      </c>
      <c r="AX27" s="19">
        <f t="shared" si="31"/>
        <v>4.473254435222264</v>
      </c>
      <c r="AY27" s="19" t="e">
        <f t="shared" si="18"/>
        <v>#DIV/0!</v>
      </c>
      <c r="AZ27" s="19">
        <f t="shared" si="19"/>
        <v>10.286583592474106</v>
      </c>
      <c r="BA27" s="19">
        <f t="shared" si="32"/>
        <v>4.473254435222264</v>
      </c>
      <c r="BB27" s="11">
        <f t="shared" si="33"/>
        <v>43.4862983906046</v>
      </c>
    </row>
    <row r="28" spans="1:54" ht="12.75">
      <c r="A28" s="1" t="s">
        <v>91</v>
      </c>
      <c r="B28" s="12" t="s">
        <v>27</v>
      </c>
      <c r="C28" s="4">
        <f>42982+1902</f>
        <v>44884</v>
      </c>
      <c r="D28" s="4">
        <f>8593+824</f>
        <v>9417</v>
      </c>
      <c r="E28" s="4">
        <f t="shared" si="0"/>
        <v>54301</v>
      </c>
      <c r="F28" s="4">
        <f>8561+484</f>
        <v>9045</v>
      </c>
      <c r="G28" s="4">
        <f>772+75</f>
        <v>847</v>
      </c>
      <c r="H28" s="4">
        <f t="shared" si="1"/>
        <v>9892</v>
      </c>
      <c r="I28" s="13">
        <f t="shared" si="2"/>
        <v>18.216975746303017</v>
      </c>
      <c r="J28" s="13">
        <f t="shared" si="3"/>
        <v>82.65777794147438</v>
      </c>
      <c r="K28" s="13">
        <f t="shared" si="4"/>
        <v>91.43752527294784</v>
      </c>
      <c r="L28" s="13">
        <f t="shared" si="20"/>
        <v>8.779747331473459</v>
      </c>
      <c r="M28" s="5">
        <v>18528</v>
      </c>
      <c r="N28" s="5">
        <v>1176</v>
      </c>
      <c r="O28" s="5">
        <f t="shared" si="21"/>
        <v>19704</v>
      </c>
      <c r="P28" s="5">
        <f>7673+166+38</f>
        <v>7877</v>
      </c>
      <c r="Q28" s="5">
        <v>647</v>
      </c>
      <c r="R28" s="5">
        <f t="shared" si="22"/>
        <v>8524</v>
      </c>
      <c r="S28" s="14">
        <f t="shared" si="23"/>
        <v>43.26025172553796</v>
      </c>
      <c r="T28" s="6">
        <v>5263</v>
      </c>
      <c r="U28" s="6">
        <v>430</v>
      </c>
      <c r="V28" s="6">
        <f t="shared" si="24"/>
        <v>5693</v>
      </c>
      <c r="W28" s="6">
        <v>3718</v>
      </c>
      <c r="X28" s="6">
        <v>313</v>
      </c>
      <c r="Y28" s="6">
        <f t="shared" si="25"/>
        <v>4031</v>
      </c>
      <c r="Z28" s="15">
        <f t="shared" si="5"/>
        <v>70.64411932357972</v>
      </c>
      <c r="AA28" s="15">
        <f t="shared" si="6"/>
        <v>72.79069767441861</v>
      </c>
      <c r="AB28" s="7">
        <v>1112</v>
      </c>
      <c r="AC28" s="7">
        <v>109</v>
      </c>
      <c r="AD28" s="7">
        <f t="shared" si="26"/>
        <v>1221</v>
      </c>
      <c r="AE28" s="7">
        <v>529</v>
      </c>
      <c r="AF28" s="7">
        <v>45</v>
      </c>
      <c r="AG28" s="7">
        <f t="shared" si="27"/>
        <v>574</v>
      </c>
      <c r="AH28" s="16">
        <f t="shared" si="7"/>
        <v>47.57194244604317</v>
      </c>
      <c r="AI28" s="16">
        <f t="shared" si="8"/>
        <v>41.284403669724774</v>
      </c>
      <c r="AJ28" s="8">
        <f t="shared" si="9"/>
        <v>24903</v>
      </c>
      <c r="AK28" s="8">
        <f t="shared" si="10"/>
        <v>1715</v>
      </c>
      <c r="AL28" s="8">
        <f t="shared" si="11"/>
        <v>26618</v>
      </c>
      <c r="AM28" s="8">
        <f t="shared" si="12"/>
        <v>12124</v>
      </c>
      <c r="AN28" s="8">
        <f t="shared" si="13"/>
        <v>1005</v>
      </c>
      <c r="AO28" s="8">
        <f t="shared" si="14"/>
        <v>13129</v>
      </c>
      <c r="AP28" s="17">
        <f t="shared" si="28"/>
        <v>48.68489740191945</v>
      </c>
      <c r="AQ28" s="17">
        <f t="shared" si="29"/>
        <v>58.60058309037901</v>
      </c>
      <c r="AR28" s="17">
        <f t="shared" si="15"/>
        <v>49.323765872717715</v>
      </c>
      <c r="AS28" s="18">
        <v>239271</v>
      </c>
      <c r="AT28" s="18">
        <v>14969</v>
      </c>
      <c r="AU28" s="18">
        <f t="shared" si="16"/>
        <v>254240</v>
      </c>
      <c r="AV28" s="19">
        <f t="shared" si="17"/>
        <v>10.407863886555411</v>
      </c>
      <c r="AW28" s="19">
        <f t="shared" si="30"/>
        <v>11.457011156389871</v>
      </c>
      <c r="AX28" s="19">
        <f t="shared" si="31"/>
        <v>5.067057854900928</v>
      </c>
      <c r="AY28" s="19">
        <f t="shared" si="18"/>
        <v>6.71387534237424</v>
      </c>
      <c r="AZ28" s="19">
        <f t="shared" si="19"/>
        <v>10.4696349905601</v>
      </c>
      <c r="BA28" s="19">
        <f t="shared" si="32"/>
        <v>5.164018250471996</v>
      </c>
      <c r="BB28" s="11">
        <f t="shared" si="33"/>
        <v>49.323765872717715</v>
      </c>
    </row>
    <row r="29" spans="1:54" ht="12.75">
      <c r="A29" s="1" t="s">
        <v>92</v>
      </c>
      <c r="B29" s="12" t="s">
        <v>28</v>
      </c>
      <c r="C29" s="4">
        <v>8695</v>
      </c>
      <c r="D29" s="4">
        <v>1631</v>
      </c>
      <c r="E29" s="4">
        <f t="shared" si="0"/>
        <v>10326</v>
      </c>
      <c r="F29" s="4">
        <v>1060</v>
      </c>
      <c r="G29" s="4">
        <v>61</v>
      </c>
      <c r="H29" s="4">
        <f t="shared" si="1"/>
        <v>1121</v>
      </c>
      <c r="I29" s="13">
        <f t="shared" si="2"/>
        <v>10.856091419717218</v>
      </c>
      <c r="J29" s="13">
        <f t="shared" si="3"/>
        <v>84.20491962037575</v>
      </c>
      <c r="K29" s="13">
        <f t="shared" si="4"/>
        <v>94.55842997323818</v>
      </c>
      <c r="L29" s="13">
        <f t="shared" si="20"/>
        <v>10.353510352862429</v>
      </c>
      <c r="M29" s="5">
        <v>2857</v>
      </c>
      <c r="N29" s="5">
        <v>1066</v>
      </c>
      <c r="O29" s="5">
        <f t="shared" si="21"/>
        <v>3923</v>
      </c>
      <c r="P29" s="5">
        <v>1032</v>
      </c>
      <c r="Q29" s="5">
        <v>772</v>
      </c>
      <c r="R29" s="5">
        <f t="shared" si="22"/>
        <v>1804</v>
      </c>
      <c r="S29" s="14">
        <f t="shared" si="23"/>
        <v>45.98521539638032</v>
      </c>
      <c r="T29" s="6">
        <v>525</v>
      </c>
      <c r="U29" s="6">
        <v>543</v>
      </c>
      <c r="V29" s="6">
        <f t="shared" si="24"/>
        <v>1068</v>
      </c>
      <c r="W29" s="6">
        <v>353</v>
      </c>
      <c r="X29" s="6">
        <v>476</v>
      </c>
      <c r="Y29" s="6">
        <f t="shared" si="25"/>
        <v>829</v>
      </c>
      <c r="Z29" s="15">
        <f t="shared" si="5"/>
        <v>67.23809523809524</v>
      </c>
      <c r="AA29" s="15">
        <f t="shared" si="6"/>
        <v>87.66114180478822</v>
      </c>
      <c r="AB29" s="7">
        <v>79</v>
      </c>
      <c r="AC29" s="7">
        <v>99</v>
      </c>
      <c r="AD29" s="7">
        <f t="shared" si="26"/>
        <v>178</v>
      </c>
      <c r="AE29" s="7">
        <v>19</v>
      </c>
      <c r="AF29" s="7">
        <v>62</v>
      </c>
      <c r="AG29" s="7">
        <f t="shared" si="27"/>
        <v>81</v>
      </c>
      <c r="AH29" s="16">
        <f t="shared" si="7"/>
        <v>24.050632911392405</v>
      </c>
      <c r="AI29" s="16">
        <f t="shared" si="8"/>
        <v>62.62626262626263</v>
      </c>
      <c r="AJ29" s="8">
        <f t="shared" si="9"/>
        <v>3461</v>
      </c>
      <c r="AK29" s="8">
        <f t="shared" si="10"/>
        <v>1708</v>
      </c>
      <c r="AL29" s="8">
        <f t="shared" si="11"/>
        <v>5169</v>
      </c>
      <c r="AM29" s="8">
        <f t="shared" si="12"/>
        <v>1404</v>
      </c>
      <c r="AN29" s="8">
        <f t="shared" si="13"/>
        <v>1310</v>
      </c>
      <c r="AO29" s="8">
        <f t="shared" si="14"/>
        <v>2714</v>
      </c>
      <c r="AP29" s="17">
        <f t="shared" si="28"/>
        <v>40.56631031493788</v>
      </c>
      <c r="AQ29" s="17">
        <f t="shared" si="29"/>
        <v>76.69789227166277</v>
      </c>
      <c r="AR29" s="17">
        <f t="shared" si="15"/>
        <v>52.50532017798414</v>
      </c>
      <c r="AS29" s="18">
        <v>31896</v>
      </c>
      <c r="AT29" s="18">
        <v>7675</v>
      </c>
      <c r="AU29" s="18">
        <f t="shared" si="16"/>
        <v>39571</v>
      </c>
      <c r="AV29" s="19">
        <f t="shared" si="17"/>
        <v>10.850890393779784</v>
      </c>
      <c r="AW29" s="19">
        <f t="shared" si="30"/>
        <v>22.254071661237784</v>
      </c>
      <c r="AX29" s="19">
        <f t="shared" si="31"/>
        <v>4.401805869074492</v>
      </c>
      <c r="AY29" s="19">
        <f t="shared" si="18"/>
        <v>17.06840390879479</v>
      </c>
      <c r="AZ29" s="19">
        <f t="shared" si="19"/>
        <v>13.0625963458088</v>
      </c>
      <c r="BA29" s="19">
        <f t="shared" si="32"/>
        <v>6.858558034924565</v>
      </c>
      <c r="BB29" s="11">
        <f t="shared" si="33"/>
        <v>52.505320177984125</v>
      </c>
    </row>
    <row r="30" spans="1:54" ht="12.75">
      <c r="A30" s="1" t="s">
        <v>93</v>
      </c>
      <c r="B30" s="12" t="s">
        <v>29</v>
      </c>
      <c r="C30" s="4">
        <v>8603</v>
      </c>
      <c r="D30" s="4">
        <v>9107</v>
      </c>
      <c r="E30" s="4">
        <f t="shared" si="0"/>
        <v>17710</v>
      </c>
      <c r="F30" s="4">
        <v>291</v>
      </c>
      <c r="G30" s="4">
        <v>21</v>
      </c>
      <c r="H30" s="4">
        <f t="shared" si="1"/>
        <v>312</v>
      </c>
      <c r="I30" s="13">
        <f t="shared" si="2"/>
        <v>1.76171654432524</v>
      </c>
      <c r="J30" s="13">
        <f t="shared" si="3"/>
        <v>48.577075098814234</v>
      </c>
      <c r="K30" s="13">
        <f t="shared" si="4"/>
        <v>93.26923076923077</v>
      </c>
      <c r="L30" s="13">
        <f t="shared" si="20"/>
        <v>44.69215567041654</v>
      </c>
      <c r="M30" s="5">
        <f>2885+340</f>
        <v>3225</v>
      </c>
      <c r="O30" s="5">
        <f t="shared" si="21"/>
        <v>3225</v>
      </c>
      <c r="P30" s="5">
        <v>980</v>
      </c>
      <c r="R30" s="5">
        <f t="shared" si="22"/>
        <v>980</v>
      </c>
      <c r="S30" s="14">
        <f t="shared" si="23"/>
        <v>30.387596899224807</v>
      </c>
      <c r="T30" s="6">
        <v>1499</v>
      </c>
      <c r="U30" s="6"/>
      <c r="V30" s="6">
        <f t="shared" si="24"/>
        <v>1499</v>
      </c>
      <c r="W30" s="6">
        <v>888</v>
      </c>
      <c r="X30" s="6"/>
      <c r="Y30" s="6">
        <f t="shared" si="25"/>
        <v>888</v>
      </c>
      <c r="Z30" s="15">
        <f aca="true" t="shared" si="34" ref="Z30:Z67">W30/T30*100</f>
        <v>59.239492995330224</v>
      </c>
      <c r="AA30" s="15">
        <f aca="true" t="shared" si="35" ref="AA30:AA36">X30/T30*100</f>
        <v>0</v>
      </c>
      <c r="AB30" s="7">
        <v>400</v>
      </c>
      <c r="AC30" s="7"/>
      <c r="AD30" s="7">
        <f t="shared" si="26"/>
        <v>400</v>
      </c>
      <c r="AE30" s="7">
        <v>101</v>
      </c>
      <c r="AF30" s="7"/>
      <c r="AG30" s="7">
        <f t="shared" si="27"/>
        <v>101</v>
      </c>
      <c r="AH30" s="16">
        <f t="shared" si="7"/>
        <v>25.25</v>
      </c>
      <c r="AI30" s="16" t="e">
        <f t="shared" si="8"/>
        <v>#DIV/0!</v>
      </c>
      <c r="AJ30" s="8">
        <f t="shared" si="9"/>
        <v>5124</v>
      </c>
      <c r="AK30" s="8">
        <f t="shared" si="10"/>
        <v>0</v>
      </c>
      <c r="AL30" s="8">
        <f t="shared" si="11"/>
        <v>5124</v>
      </c>
      <c r="AM30" s="8">
        <f t="shared" si="12"/>
        <v>1969</v>
      </c>
      <c r="AN30" s="8">
        <f t="shared" si="13"/>
        <v>0</v>
      </c>
      <c r="AO30" s="8">
        <f t="shared" si="14"/>
        <v>1969</v>
      </c>
      <c r="AP30" s="17">
        <f t="shared" si="28"/>
        <v>38.42701014832162</v>
      </c>
      <c r="AQ30" s="17" t="e">
        <f t="shared" si="29"/>
        <v>#DIV/0!</v>
      </c>
      <c r="AR30" s="17">
        <f t="shared" si="15"/>
        <v>38.42701014832162</v>
      </c>
      <c r="AS30" s="18">
        <v>46678</v>
      </c>
      <c r="AT30" s="18"/>
      <c r="AU30" s="18">
        <f t="shared" si="16"/>
        <v>46678</v>
      </c>
      <c r="AV30" s="19">
        <f t="shared" si="17"/>
        <v>10.977334076010111</v>
      </c>
      <c r="AW30" s="19" t="e">
        <f t="shared" si="30"/>
        <v>#DIV/0!</v>
      </c>
      <c r="AX30" s="19">
        <f t="shared" si="31"/>
        <v>4.218261279403573</v>
      </c>
      <c r="AY30" s="19" t="e">
        <f t="shared" si="18"/>
        <v>#DIV/0!</v>
      </c>
      <c r="AZ30" s="19">
        <f t="shared" si="19"/>
        <v>10.977334076010111</v>
      </c>
      <c r="BA30" s="19">
        <f t="shared" si="32"/>
        <v>4.218261279403573</v>
      </c>
      <c r="BB30" s="11">
        <f t="shared" si="33"/>
        <v>38.42701014832162</v>
      </c>
    </row>
    <row r="31" spans="1:54" ht="12.75">
      <c r="A31" s="1" t="s">
        <v>94</v>
      </c>
      <c r="B31" s="12" t="s">
        <v>30</v>
      </c>
      <c r="C31" s="4">
        <f>12157+195</f>
        <v>12352</v>
      </c>
      <c r="D31" s="4">
        <f>1772+21</f>
        <v>1793</v>
      </c>
      <c r="E31" s="4">
        <f t="shared" si="0"/>
        <v>14145</v>
      </c>
      <c r="F31" s="4">
        <v>1613</v>
      </c>
      <c r="G31" s="4">
        <v>107</v>
      </c>
      <c r="H31" s="4">
        <f t="shared" si="1"/>
        <v>1720</v>
      </c>
      <c r="I31" s="13">
        <f t="shared" si="2"/>
        <v>12.15977377165076</v>
      </c>
      <c r="J31" s="13">
        <f t="shared" si="3"/>
        <v>87.32414280664545</v>
      </c>
      <c r="K31" s="13">
        <f t="shared" si="4"/>
        <v>93.77906976744185</v>
      </c>
      <c r="L31" s="13">
        <f t="shared" si="20"/>
        <v>6.454926960796399</v>
      </c>
      <c r="M31" s="5">
        <f>2684+324</f>
        <v>3008</v>
      </c>
      <c r="N31" s="5">
        <v>1248</v>
      </c>
      <c r="O31" s="5">
        <f t="shared" si="21"/>
        <v>4256</v>
      </c>
      <c r="P31" s="5">
        <v>980</v>
      </c>
      <c r="Q31" s="5">
        <v>997</v>
      </c>
      <c r="R31" s="5">
        <f t="shared" si="22"/>
        <v>1977</v>
      </c>
      <c r="S31" s="14">
        <f t="shared" si="23"/>
        <v>46.45206766917293</v>
      </c>
      <c r="T31" s="6">
        <v>695</v>
      </c>
      <c r="U31" s="6">
        <v>640</v>
      </c>
      <c r="V31" s="6">
        <f t="shared" si="24"/>
        <v>1335</v>
      </c>
      <c r="W31" s="6">
        <v>460</v>
      </c>
      <c r="X31" s="6">
        <v>537</v>
      </c>
      <c r="Y31" s="6">
        <f t="shared" si="25"/>
        <v>997</v>
      </c>
      <c r="Z31" s="15">
        <f t="shared" si="34"/>
        <v>66.18705035971223</v>
      </c>
      <c r="AA31" s="15">
        <f t="shared" si="35"/>
        <v>77.26618705035972</v>
      </c>
      <c r="AB31" s="7">
        <v>231</v>
      </c>
      <c r="AC31" s="7">
        <v>126</v>
      </c>
      <c r="AD31" s="7">
        <f t="shared" si="26"/>
        <v>357</v>
      </c>
      <c r="AE31" s="7">
        <v>47</v>
      </c>
      <c r="AF31" s="7">
        <v>98</v>
      </c>
      <c r="AG31" s="7">
        <f t="shared" si="27"/>
        <v>145</v>
      </c>
      <c r="AH31" s="16">
        <f t="shared" si="7"/>
        <v>20.346320346320347</v>
      </c>
      <c r="AI31" s="16">
        <f t="shared" si="8"/>
        <v>77.77777777777779</v>
      </c>
      <c r="AJ31" s="8">
        <f t="shared" si="9"/>
        <v>3934</v>
      </c>
      <c r="AK31" s="8">
        <f t="shared" si="10"/>
        <v>2014</v>
      </c>
      <c r="AL31" s="8">
        <f t="shared" si="11"/>
        <v>5948</v>
      </c>
      <c r="AM31" s="8">
        <f t="shared" si="12"/>
        <v>1487</v>
      </c>
      <c r="AN31" s="8">
        <f t="shared" si="13"/>
        <v>1632</v>
      </c>
      <c r="AO31" s="8">
        <f t="shared" si="14"/>
        <v>3119</v>
      </c>
      <c r="AP31" s="17">
        <f t="shared" si="28"/>
        <v>37.79867819013727</v>
      </c>
      <c r="AQ31" s="17">
        <f t="shared" si="29"/>
        <v>81.03277060575968</v>
      </c>
      <c r="AR31" s="17">
        <f t="shared" si="15"/>
        <v>52.437794216543374</v>
      </c>
      <c r="AS31" s="18">
        <v>53634</v>
      </c>
      <c r="AT31" s="18">
        <v>11018</v>
      </c>
      <c r="AU31" s="18">
        <f t="shared" si="16"/>
        <v>64652</v>
      </c>
      <c r="AV31" s="19">
        <f t="shared" si="17"/>
        <v>7.334899504045941</v>
      </c>
      <c r="AW31" s="19">
        <f t="shared" si="30"/>
        <v>18.279179524414594</v>
      </c>
      <c r="AX31" s="19">
        <f t="shared" si="31"/>
        <v>2.7724950591042994</v>
      </c>
      <c r="AY31" s="19">
        <f t="shared" si="18"/>
        <v>14.812125612633873</v>
      </c>
      <c r="AZ31" s="19">
        <f t="shared" si="19"/>
        <v>9.200024747880962</v>
      </c>
      <c r="BA31" s="19">
        <f t="shared" si="32"/>
        <v>4.824290045164883</v>
      </c>
      <c r="BB31" s="11">
        <f t="shared" si="33"/>
        <v>52.43779421654339</v>
      </c>
    </row>
    <row r="32" spans="1:54" ht="12.75">
      <c r="A32" s="1" t="s">
        <v>95</v>
      </c>
      <c r="B32" s="12" t="s">
        <v>31</v>
      </c>
      <c r="C32" s="4">
        <v>12212</v>
      </c>
      <c r="D32" s="4">
        <v>1097</v>
      </c>
      <c r="E32" s="4">
        <f t="shared" si="0"/>
        <v>13309</v>
      </c>
      <c r="F32" s="4">
        <v>890</v>
      </c>
      <c r="G32" s="4">
        <v>11</v>
      </c>
      <c r="H32" s="4">
        <f t="shared" si="1"/>
        <v>901</v>
      </c>
      <c r="I32" s="13">
        <f t="shared" si="2"/>
        <v>6.76985498534826</v>
      </c>
      <c r="J32" s="13">
        <f t="shared" si="3"/>
        <v>91.75745735968141</v>
      </c>
      <c r="K32" s="13">
        <f t="shared" si="4"/>
        <v>98.77913429522752</v>
      </c>
      <c r="L32" s="13">
        <f t="shared" si="20"/>
        <v>7.021676935546111</v>
      </c>
      <c r="M32" s="5">
        <f>3474+557</f>
        <v>4031</v>
      </c>
      <c r="O32" s="5">
        <f t="shared" si="21"/>
        <v>4031</v>
      </c>
      <c r="P32" s="5">
        <v>1367</v>
      </c>
      <c r="R32" s="5">
        <f t="shared" si="22"/>
        <v>1367</v>
      </c>
      <c r="S32" s="14">
        <f t="shared" si="23"/>
        <v>33.912180600347305</v>
      </c>
      <c r="T32" s="6">
        <v>547</v>
      </c>
      <c r="U32" s="6"/>
      <c r="V32" s="6">
        <f t="shared" si="24"/>
        <v>547</v>
      </c>
      <c r="W32" s="6">
        <v>458</v>
      </c>
      <c r="X32" s="6"/>
      <c r="Y32" s="6">
        <f t="shared" si="25"/>
        <v>458</v>
      </c>
      <c r="Z32" s="15">
        <f t="shared" si="34"/>
        <v>83.72943327239489</v>
      </c>
      <c r="AA32" s="15">
        <f t="shared" si="35"/>
        <v>0</v>
      </c>
      <c r="AB32" s="7">
        <v>135</v>
      </c>
      <c r="AC32" s="7"/>
      <c r="AD32" s="7">
        <f t="shared" si="26"/>
        <v>135</v>
      </c>
      <c r="AE32" s="7">
        <v>28</v>
      </c>
      <c r="AF32" s="7"/>
      <c r="AG32" s="7">
        <f t="shared" si="27"/>
        <v>28</v>
      </c>
      <c r="AH32" s="16">
        <f t="shared" si="7"/>
        <v>20.74074074074074</v>
      </c>
      <c r="AI32" s="16" t="e">
        <f t="shared" si="8"/>
        <v>#DIV/0!</v>
      </c>
      <c r="AJ32" s="8">
        <f t="shared" si="9"/>
        <v>4713</v>
      </c>
      <c r="AK32" s="8">
        <f t="shared" si="10"/>
        <v>0</v>
      </c>
      <c r="AL32" s="8">
        <f t="shared" si="11"/>
        <v>4713</v>
      </c>
      <c r="AM32" s="8">
        <f t="shared" si="12"/>
        <v>1853</v>
      </c>
      <c r="AN32" s="8">
        <f t="shared" si="13"/>
        <v>0</v>
      </c>
      <c r="AO32" s="8">
        <f t="shared" si="14"/>
        <v>1853</v>
      </c>
      <c r="AP32" s="17">
        <f t="shared" si="28"/>
        <v>39.3167833651602</v>
      </c>
      <c r="AQ32" s="17" t="e">
        <f t="shared" si="29"/>
        <v>#DIV/0!</v>
      </c>
      <c r="AR32" s="17">
        <f t="shared" si="15"/>
        <v>39.3167833651602</v>
      </c>
      <c r="AS32" s="18">
        <v>42461</v>
      </c>
      <c r="AT32" s="18"/>
      <c r="AU32" s="18">
        <f t="shared" si="16"/>
        <v>42461</v>
      </c>
      <c r="AV32" s="19">
        <f t="shared" si="17"/>
        <v>11.099597277501708</v>
      </c>
      <c r="AW32" s="19" t="e">
        <f t="shared" si="30"/>
        <v>#DIV/0!</v>
      </c>
      <c r="AX32" s="19">
        <f t="shared" si="31"/>
        <v>4.364004616000565</v>
      </c>
      <c r="AY32" s="19" t="e">
        <f t="shared" si="18"/>
        <v>#DIV/0!</v>
      </c>
      <c r="AZ32" s="19">
        <f t="shared" si="19"/>
        <v>11.099597277501708</v>
      </c>
      <c r="BA32" s="19">
        <f t="shared" si="32"/>
        <v>4.364004616000565</v>
      </c>
      <c r="BB32" s="11">
        <f t="shared" si="33"/>
        <v>39.31678336516019</v>
      </c>
    </row>
    <row r="33" spans="1:54" ht="12.75">
      <c r="A33" s="1" t="s">
        <v>96</v>
      </c>
      <c r="B33" s="12" t="s">
        <v>32</v>
      </c>
      <c r="C33" s="4">
        <v>7617</v>
      </c>
      <c r="D33" s="4">
        <v>6949</v>
      </c>
      <c r="E33" s="4">
        <f t="shared" si="0"/>
        <v>14566</v>
      </c>
      <c r="F33" s="4">
        <v>119</v>
      </c>
      <c r="G33" s="4">
        <v>13</v>
      </c>
      <c r="H33" s="4">
        <f t="shared" si="1"/>
        <v>132</v>
      </c>
      <c r="I33" s="13">
        <f t="shared" si="2"/>
        <v>0.9062199643004256</v>
      </c>
      <c r="J33" s="13">
        <f t="shared" si="3"/>
        <v>52.293011121790464</v>
      </c>
      <c r="K33" s="13">
        <f t="shared" si="4"/>
        <v>90.15151515151516</v>
      </c>
      <c r="L33" s="13">
        <f t="shared" si="20"/>
        <v>37.85850402972469</v>
      </c>
      <c r="M33" s="5">
        <f>2051+257</f>
        <v>2308</v>
      </c>
      <c r="O33" s="5">
        <f t="shared" si="21"/>
        <v>2308</v>
      </c>
      <c r="P33" s="5">
        <v>1082</v>
      </c>
      <c r="R33" s="5">
        <f t="shared" si="22"/>
        <v>1082</v>
      </c>
      <c r="S33" s="14">
        <f t="shared" si="23"/>
        <v>46.88041594454073</v>
      </c>
      <c r="T33" s="6">
        <v>803</v>
      </c>
      <c r="U33" s="6"/>
      <c r="V33" s="6">
        <f t="shared" si="24"/>
        <v>803</v>
      </c>
      <c r="W33" s="6">
        <v>556</v>
      </c>
      <c r="X33" s="6"/>
      <c r="Y33" s="6">
        <f t="shared" si="25"/>
        <v>556</v>
      </c>
      <c r="Z33" s="15">
        <f t="shared" si="34"/>
        <v>69.24034869240349</v>
      </c>
      <c r="AA33" s="15">
        <f t="shared" si="35"/>
        <v>0</v>
      </c>
      <c r="AB33" s="7">
        <v>79</v>
      </c>
      <c r="AC33" s="7"/>
      <c r="AD33" s="7">
        <f t="shared" si="26"/>
        <v>79</v>
      </c>
      <c r="AE33" s="7">
        <v>22</v>
      </c>
      <c r="AF33" s="7"/>
      <c r="AG33" s="7">
        <f t="shared" si="27"/>
        <v>22</v>
      </c>
      <c r="AH33" s="16">
        <f t="shared" si="7"/>
        <v>27.848101265822784</v>
      </c>
      <c r="AI33" s="16" t="e">
        <f t="shared" si="8"/>
        <v>#DIV/0!</v>
      </c>
      <c r="AJ33" s="8">
        <f t="shared" si="9"/>
        <v>3190</v>
      </c>
      <c r="AK33" s="8">
        <f t="shared" si="10"/>
        <v>0</v>
      </c>
      <c r="AL33" s="8">
        <f t="shared" si="11"/>
        <v>3190</v>
      </c>
      <c r="AM33" s="8">
        <f t="shared" si="12"/>
        <v>1660</v>
      </c>
      <c r="AN33" s="8">
        <f t="shared" si="13"/>
        <v>0</v>
      </c>
      <c r="AO33" s="8">
        <f t="shared" si="14"/>
        <v>1660</v>
      </c>
      <c r="AP33" s="17">
        <f t="shared" si="28"/>
        <v>52.03761755485894</v>
      </c>
      <c r="AQ33" s="17" t="e">
        <f t="shared" si="29"/>
        <v>#DIV/0!</v>
      </c>
      <c r="AR33" s="17">
        <f t="shared" si="15"/>
        <v>52.03761755485894</v>
      </c>
      <c r="AS33" s="18">
        <v>30526</v>
      </c>
      <c r="AT33" s="18"/>
      <c r="AU33" s="18">
        <f t="shared" si="16"/>
        <v>30526</v>
      </c>
      <c r="AV33" s="19">
        <f t="shared" si="17"/>
        <v>10.450108104566599</v>
      </c>
      <c r="AW33" s="19" t="e">
        <f t="shared" si="30"/>
        <v>#DIV/0!</v>
      </c>
      <c r="AX33" s="19">
        <f t="shared" si="31"/>
        <v>5.437987289523685</v>
      </c>
      <c r="AY33" s="19" t="e">
        <f t="shared" si="18"/>
        <v>#DIV/0!</v>
      </c>
      <c r="AZ33" s="19">
        <f t="shared" si="19"/>
        <v>10.450108104566599</v>
      </c>
      <c r="BA33" s="19">
        <f t="shared" si="32"/>
        <v>5.437987289523685</v>
      </c>
      <c r="BB33" s="11">
        <f t="shared" si="33"/>
        <v>52.037617554858926</v>
      </c>
    </row>
    <row r="34" spans="1:54" ht="12.75">
      <c r="A34" s="1" t="s">
        <v>97</v>
      </c>
      <c r="B34" s="12" t="s">
        <v>33</v>
      </c>
      <c r="C34" s="4">
        <v>7964</v>
      </c>
      <c r="D34" s="4">
        <v>3047</v>
      </c>
      <c r="E34" s="4">
        <f aca="true" t="shared" si="36" ref="E34:E64">C34+D34</f>
        <v>11011</v>
      </c>
      <c r="F34" s="4">
        <v>162</v>
      </c>
      <c r="G34" s="4">
        <v>6</v>
      </c>
      <c r="H34" s="4">
        <f aca="true" t="shared" si="37" ref="H34:H64">F34+G34</f>
        <v>168</v>
      </c>
      <c r="I34" s="13">
        <f aca="true" t="shared" si="38" ref="I34:I64">H34/E34*100</f>
        <v>1.5257469802924348</v>
      </c>
      <c r="J34" s="13">
        <f aca="true" t="shared" si="39" ref="J34:J64">C34/E34*100</f>
        <v>72.32767232767233</v>
      </c>
      <c r="K34" s="13">
        <f aca="true" t="shared" si="40" ref="K34:K64">F34/H34*100</f>
        <v>96.42857142857143</v>
      </c>
      <c r="L34" s="13">
        <f t="shared" si="20"/>
        <v>24.1008991008991</v>
      </c>
      <c r="M34" s="5">
        <f>2781+487</f>
        <v>3268</v>
      </c>
      <c r="O34" s="5">
        <f t="shared" si="21"/>
        <v>3268</v>
      </c>
      <c r="P34" s="5">
        <v>1371</v>
      </c>
      <c r="R34" s="5">
        <f t="shared" si="22"/>
        <v>1371</v>
      </c>
      <c r="S34" s="14">
        <f t="shared" si="23"/>
        <v>41.952264381884945</v>
      </c>
      <c r="T34" s="6">
        <v>528</v>
      </c>
      <c r="U34" s="6"/>
      <c r="V34" s="6">
        <f t="shared" si="24"/>
        <v>528</v>
      </c>
      <c r="W34" s="6">
        <v>439</v>
      </c>
      <c r="X34" s="6"/>
      <c r="Y34" s="6">
        <f t="shared" si="25"/>
        <v>439</v>
      </c>
      <c r="Z34" s="15">
        <f t="shared" si="34"/>
        <v>83.14393939393939</v>
      </c>
      <c r="AA34" s="15">
        <f t="shared" si="35"/>
        <v>0</v>
      </c>
      <c r="AB34" s="7">
        <v>176</v>
      </c>
      <c r="AC34" s="7"/>
      <c r="AD34" s="7">
        <f t="shared" si="26"/>
        <v>176</v>
      </c>
      <c r="AE34" s="7">
        <v>43</v>
      </c>
      <c r="AF34" s="7"/>
      <c r="AG34" s="7">
        <f t="shared" si="27"/>
        <v>43</v>
      </c>
      <c r="AH34" s="16">
        <f aca="true" t="shared" si="41" ref="AH34:AH64">AE34/AB34*100</f>
        <v>24.431818181818183</v>
      </c>
      <c r="AI34" s="16" t="e">
        <f aca="true" t="shared" si="42" ref="AI34:AI64">AF34/AC34*100</f>
        <v>#DIV/0!</v>
      </c>
      <c r="AJ34" s="8">
        <f aca="true" t="shared" si="43" ref="AJ34:AJ64">M34+T34+AB34</f>
        <v>3972</v>
      </c>
      <c r="AK34" s="8">
        <f aca="true" t="shared" si="44" ref="AK34:AK64">N34+U34+AC34</f>
        <v>0</v>
      </c>
      <c r="AL34" s="8">
        <f aca="true" t="shared" si="45" ref="AL34:AL65">AJ34+AK34</f>
        <v>3972</v>
      </c>
      <c r="AM34" s="8">
        <f aca="true" t="shared" si="46" ref="AM34:AM66">P34+W34+AE34</f>
        <v>1853</v>
      </c>
      <c r="AN34" s="8">
        <f aca="true" t="shared" si="47" ref="AN34:AN66">Q34+X34+AF34</f>
        <v>0</v>
      </c>
      <c r="AO34" s="8">
        <f aca="true" t="shared" si="48" ref="AO34:AO65">AM34+AN34</f>
        <v>1853</v>
      </c>
      <c r="AP34" s="17">
        <f aca="true" t="shared" si="49" ref="AP34:AP66">AM34/AJ34*100</f>
        <v>46.651560926485395</v>
      </c>
      <c r="AQ34" s="17" t="e">
        <f aca="true" t="shared" si="50" ref="AQ34:AQ66">AN34/AK34*100</f>
        <v>#DIV/0!</v>
      </c>
      <c r="AR34" s="17">
        <f aca="true" t="shared" si="51" ref="AR34:AR66">AO34/AL34*100</f>
        <v>46.651560926485395</v>
      </c>
      <c r="AS34" s="18">
        <v>32720</v>
      </c>
      <c r="AT34" s="18"/>
      <c r="AU34" s="18">
        <f aca="true" t="shared" si="52" ref="AU34:AU65">AS34+AT34</f>
        <v>32720</v>
      </c>
      <c r="AV34" s="19">
        <f aca="true" t="shared" si="53" ref="AV34:AV64">AJ34/AS34*100</f>
        <v>12.139364303178484</v>
      </c>
      <c r="AW34" s="19" t="e">
        <f aca="true" t="shared" si="54" ref="AW34:AW64">AK34/AT34*100</f>
        <v>#DIV/0!</v>
      </c>
      <c r="AX34" s="19">
        <f aca="true" t="shared" si="55" ref="AX34:AX64">AM34/AS34*100</f>
        <v>5.66320293398533</v>
      </c>
      <c r="AY34" s="19" t="e">
        <f aca="true" t="shared" si="56" ref="AY34:AY64">AN34/AT34*100</f>
        <v>#DIV/0!</v>
      </c>
      <c r="AZ34" s="19">
        <f aca="true" t="shared" si="57" ref="AZ34:AZ66">AL34/AU34*100</f>
        <v>12.139364303178484</v>
      </c>
      <c r="BA34" s="19">
        <f aca="true" t="shared" si="58" ref="BA34:BA66">AO34/AU34*100</f>
        <v>5.66320293398533</v>
      </c>
      <c r="BB34" s="11">
        <f t="shared" si="33"/>
        <v>46.651560926485395</v>
      </c>
    </row>
    <row r="35" spans="1:54" ht="12.75">
      <c r="A35" s="1" t="s">
        <v>98</v>
      </c>
      <c r="B35" s="12" t="s">
        <v>34</v>
      </c>
      <c r="C35" s="4">
        <v>5436</v>
      </c>
      <c r="D35" s="4">
        <v>7296</v>
      </c>
      <c r="E35" s="4">
        <f t="shared" si="36"/>
        <v>12732</v>
      </c>
      <c r="F35" s="4">
        <v>207</v>
      </c>
      <c r="G35" s="4">
        <v>25</v>
      </c>
      <c r="H35" s="4">
        <f t="shared" si="37"/>
        <v>232</v>
      </c>
      <c r="I35" s="13">
        <f t="shared" si="38"/>
        <v>1.8221803330191644</v>
      </c>
      <c r="J35" s="13">
        <f t="shared" si="39"/>
        <v>42.69557021677662</v>
      </c>
      <c r="K35" s="13">
        <f t="shared" si="40"/>
        <v>89.22413793103449</v>
      </c>
      <c r="L35" s="13">
        <f t="shared" si="20"/>
        <v>46.52856771425787</v>
      </c>
      <c r="M35" s="5">
        <f>2260+300</f>
        <v>2560</v>
      </c>
      <c r="O35" s="5">
        <f t="shared" si="21"/>
        <v>2560</v>
      </c>
      <c r="P35" s="5">
        <v>796</v>
      </c>
      <c r="R35" s="5">
        <f t="shared" si="22"/>
        <v>796</v>
      </c>
      <c r="S35" s="14">
        <f t="shared" si="23"/>
        <v>31.093749999999996</v>
      </c>
      <c r="T35" s="6">
        <v>913</v>
      </c>
      <c r="U35" s="6"/>
      <c r="V35" s="6">
        <f t="shared" si="24"/>
        <v>913</v>
      </c>
      <c r="W35" s="6">
        <v>543</v>
      </c>
      <c r="X35" s="6"/>
      <c r="Y35" s="6">
        <f t="shared" si="25"/>
        <v>543</v>
      </c>
      <c r="Z35" s="15">
        <f t="shared" si="34"/>
        <v>59.47426067907996</v>
      </c>
      <c r="AA35" s="15">
        <f t="shared" si="35"/>
        <v>0</v>
      </c>
      <c r="AB35" s="7">
        <v>157</v>
      </c>
      <c r="AC35" s="7"/>
      <c r="AD35" s="7">
        <f t="shared" si="26"/>
        <v>157</v>
      </c>
      <c r="AE35" s="7">
        <v>58</v>
      </c>
      <c r="AF35" s="7"/>
      <c r="AG35" s="7">
        <f t="shared" si="27"/>
        <v>58</v>
      </c>
      <c r="AH35" s="16">
        <f t="shared" si="41"/>
        <v>36.94267515923567</v>
      </c>
      <c r="AI35" s="16" t="e">
        <f t="shared" si="42"/>
        <v>#DIV/0!</v>
      </c>
      <c r="AJ35" s="8">
        <f t="shared" si="43"/>
        <v>3630</v>
      </c>
      <c r="AK35" s="8">
        <f t="shared" si="44"/>
        <v>0</v>
      </c>
      <c r="AL35" s="8">
        <f t="shared" si="45"/>
        <v>3630</v>
      </c>
      <c r="AM35" s="8">
        <f t="shared" si="46"/>
        <v>1397</v>
      </c>
      <c r="AN35" s="8">
        <f t="shared" si="47"/>
        <v>0</v>
      </c>
      <c r="AO35" s="8">
        <f t="shared" si="48"/>
        <v>1397</v>
      </c>
      <c r="AP35" s="17">
        <f t="shared" si="49"/>
        <v>38.484848484848484</v>
      </c>
      <c r="AQ35" s="17" t="e">
        <f t="shared" si="50"/>
        <v>#DIV/0!</v>
      </c>
      <c r="AR35" s="17">
        <f t="shared" si="51"/>
        <v>38.484848484848484</v>
      </c>
      <c r="AS35" s="18">
        <v>29164</v>
      </c>
      <c r="AT35" s="18"/>
      <c r="AU35" s="18">
        <f t="shared" si="52"/>
        <v>29164</v>
      </c>
      <c r="AV35" s="19">
        <f t="shared" si="53"/>
        <v>12.44685228363736</v>
      </c>
      <c r="AW35" s="19" t="e">
        <f t="shared" si="54"/>
        <v>#DIV/0!</v>
      </c>
      <c r="AX35" s="19">
        <f t="shared" si="55"/>
        <v>4.790152242490741</v>
      </c>
      <c r="AY35" s="19" t="e">
        <f t="shared" si="56"/>
        <v>#DIV/0!</v>
      </c>
      <c r="AZ35" s="19">
        <f t="shared" si="57"/>
        <v>12.44685228363736</v>
      </c>
      <c r="BA35" s="19">
        <f t="shared" si="58"/>
        <v>4.790152242490741</v>
      </c>
      <c r="BB35" s="11">
        <f t="shared" si="33"/>
        <v>38.484848484848484</v>
      </c>
    </row>
    <row r="36" spans="1:54" ht="12.75">
      <c r="A36" s="1" t="s">
        <v>99</v>
      </c>
      <c r="B36" s="12" t="s">
        <v>35</v>
      </c>
      <c r="C36" s="4">
        <v>13124</v>
      </c>
      <c r="D36" s="4">
        <v>8236</v>
      </c>
      <c r="E36" s="4">
        <f t="shared" si="36"/>
        <v>21360</v>
      </c>
      <c r="F36" s="4">
        <v>753</v>
      </c>
      <c r="G36" s="4">
        <v>79</v>
      </c>
      <c r="H36" s="4">
        <f t="shared" si="37"/>
        <v>832</v>
      </c>
      <c r="I36" s="13">
        <f t="shared" si="38"/>
        <v>3.895131086142322</v>
      </c>
      <c r="J36" s="13">
        <f t="shared" si="39"/>
        <v>61.441947565543074</v>
      </c>
      <c r="K36" s="13">
        <f t="shared" si="40"/>
        <v>90.5048076923077</v>
      </c>
      <c r="L36" s="13">
        <f t="shared" si="20"/>
        <v>29.06286012676462</v>
      </c>
      <c r="M36" s="5">
        <f>4450+575+551</f>
        <v>5576</v>
      </c>
      <c r="O36" s="5">
        <f t="shared" si="21"/>
        <v>5576</v>
      </c>
      <c r="P36" s="5">
        <f>1961+127</f>
        <v>2088</v>
      </c>
      <c r="R36" s="5">
        <f t="shared" si="22"/>
        <v>2088</v>
      </c>
      <c r="S36" s="14">
        <f t="shared" si="23"/>
        <v>37.44619799139168</v>
      </c>
      <c r="T36" s="6">
        <v>2188</v>
      </c>
      <c r="U36" s="6"/>
      <c r="V36" s="6">
        <f t="shared" si="24"/>
        <v>2188</v>
      </c>
      <c r="W36" s="6">
        <v>1525</v>
      </c>
      <c r="X36" s="6"/>
      <c r="Y36" s="6">
        <f t="shared" si="25"/>
        <v>1525</v>
      </c>
      <c r="Z36" s="15">
        <f t="shared" si="34"/>
        <v>69.6983546617916</v>
      </c>
      <c r="AA36" s="15">
        <f t="shared" si="35"/>
        <v>0</v>
      </c>
      <c r="AB36" s="7">
        <v>287</v>
      </c>
      <c r="AC36" s="7"/>
      <c r="AD36" s="7">
        <f t="shared" si="26"/>
        <v>287</v>
      </c>
      <c r="AE36" s="7">
        <v>76</v>
      </c>
      <c r="AF36" s="7"/>
      <c r="AG36" s="7">
        <f t="shared" si="27"/>
        <v>76</v>
      </c>
      <c r="AH36" s="16">
        <f t="shared" si="41"/>
        <v>26.480836236933797</v>
      </c>
      <c r="AI36" s="16" t="e">
        <f t="shared" si="42"/>
        <v>#DIV/0!</v>
      </c>
      <c r="AJ36" s="8">
        <f t="shared" si="43"/>
        <v>8051</v>
      </c>
      <c r="AK36" s="8">
        <f t="shared" si="44"/>
        <v>0</v>
      </c>
      <c r="AL36" s="8">
        <f t="shared" si="45"/>
        <v>8051</v>
      </c>
      <c r="AM36" s="8">
        <f t="shared" si="46"/>
        <v>3689</v>
      </c>
      <c r="AN36" s="8">
        <f t="shared" si="47"/>
        <v>0</v>
      </c>
      <c r="AO36" s="8">
        <f t="shared" si="48"/>
        <v>3689</v>
      </c>
      <c r="AP36" s="17">
        <f t="shared" si="49"/>
        <v>45.820394981989814</v>
      </c>
      <c r="AQ36" s="17" t="e">
        <f t="shared" si="50"/>
        <v>#DIV/0!</v>
      </c>
      <c r="AR36" s="17">
        <f t="shared" si="51"/>
        <v>45.820394981989814</v>
      </c>
      <c r="AS36" s="18">
        <v>63417</v>
      </c>
      <c r="AT36" s="18"/>
      <c r="AU36" s="18">
        <f t="shared" si="52"/>
        <v>63417</v>
      </c>
      <c r="AV36" s="19">
        <f t="shared" si="53"/>
        <v>12.695334058690888</v>
      </c>
      <c r="AW36" s="19" t="e">
        <f t="shared" si="54"/>
        <v>#DIV/0!</v>
      </c>
      <c r="AX36" s="19">
        <f t="shared" si="55"/>
        <v>5.817052209975243</v>
      </c>
      <c r="AY36" s="19" t="e">
        <f t="shared" si="56"/>
        <v>#DIV/0!</v>
      </c>
      <c r="AZ36" s="19">
        <f t="shared" si="57"/>
        <v>12.695334058690888</v>
      </c>
      <c r="BA36" s="19">
        <f t="shared" si="58"/>
        <v>5.817052209975243</v>
      </c>
      <c r="BB36" s="11">
        <f t="shared" si="33"/>
        <v>45.82039498198981</v>
      </c>
    </row>
    <row r="37" spans="1:54" ht="12.75">
      <c r="A37" s="1" t="s">
        <v>100</v>
      </c>
      <c r="B37" s="12" t="s">
        <v>36</v>
      </c>
      <c r="C37" s="4">
        <v>14481</v>
      </c>
      <c r="D37" s="4">
        <v>1590</v>
      </c>
      <c r="E37" s="4">
        <f t="shared" si="36"/>
        <v>16071</v>
      </c>
      <c r="F37" s="4">
        <v>5670</v>
      </c>
      <c r="G37" s="4">
        <v>286</v>
      </c>
      <c r="H37" s="4">
        <f t="shared" si="37"/>
        <v>5956</v>
      </c>
      <c r="I37" s="13">
        <f t="shared" si="38"/>
        <v>37.060543836724534</v>
      </c>
      <c r="J37" s="13">
        <f t="shared" si="39"/>
        <v>90.106402837409</v>
      </c>
      <c r="K37" s="13">
        <f t="shared" si="40"/>
        <v>95.19811954331766</v>
      </c>
      <c r="L37" s="13">
        <f t="shared" si="20"/>
        <v>5.0917167059086665</v>
      </c>
      <c r="M37" s="5">
        <f>4885+126+127</f>
        <v>5138</v>
      </c>
      <c r="O37" s="5">
        <f t="shared" si="21"/>
        <v>5138</v>
      </c>
      <c r="P37" s="5">
        <v>2212</v>
      </c>
      <c r="R37" s="5">
        <f t="shared" si="22"/>
        <v>2212</v>
      </c>
      <c r="S37" s="14">
        <f t="shared" si="23"/>
        <v>43.05177111716621</v>
      </c>
      <c r="T37" s="6">
        <v>1441</v>
      </c>
      <c r="U37" s="6"/>
      <c r="V37" s="6">
        <f t="shared" si="24"/>
        <v>1441</v>
      </c>
      <c r="W37" s="6">
        <v>933</v>
      </c>
      <c r="X37" s="6"/>
      <c r="Y37" s="6">
        <f t="shared" si="25"/>
        <v>933</v>
      </c>
      <c r="Z37" s="15">
        <f t="shared" si="34"/>
        <v>64.74670367800138</v>
      </c>
      <c r="AA37" s="15" t="e">
        <f aca="true" t="shared" si="59" ref="AA37:AA67">X37/U37*100</f>
        <v>#DIV/0!</v>
      </c>
      <c r="AB37" s="7">
        <v>303</v>
      </c>
      <c r="AC37" s="7"/>
      <c r="AD37" s="7">
        <f t="shared" si="26"/>
        <v>303</v>
      </c>
      <c r="AE37" s="7">
        <v>75</v>
      </c>
      <c r="AF37" s="7"/>
      <c r="AG37" s="7">
        <f t="shared" si="27"/>
        <v>75</v>
      </c>
      <c r="AH37" s="16">
        <f t="shared" si="41"/>
        <v>24.752475247524753</v>
      </c>
      <c r="AI37" s="16" t="e">
        <f t="shared" si="42"/>
        <v>#DIV/0!</v>
      </c>
      <c r="AJ37" s="8">
        <f t="shared" si="43"/>
        <v>6882</v>
      </c>
      <c r="AK37" s="8">
        <f t="shared" si="44"/>
        <v>0</v>
      </c>
      <c r="AL37" s="8">
        <f t="shared" si="45"/>
        <v>6882</v>
      </c>
      <c r="AM37" s="8">
        <f t="shared" si="46"/>
        <v>3220</v>
      </c>
      <c r="AN37" s="8">
        <f t="shared" si="47"/>
        <v>0</v>
      </c>
      <c r="AO37" s="8">
        <f t="shared" si="48"/>
        <v>3220</v>
      </c>
      <c r="AP37" s="17">
        <f t="shared" si="49"/>
        <v>46.788724208079046</v>
      </c>
      <c r="AQ37" s="17" t="e">
        <f t="shared" si="50"/>
        <v>#DIV/0!</v>
      </c>
      <c r="AR37" s="17">
        <f t="shared" si="51"/>
        <v>46.788724208079046</v>
      </c>
      <c r="AS37" s="18">
        <v>72074</v>
      </c>
      <c r="AT37" s="18"/>
      <c r="AU37" s="18">
        <f t="shared" si="52"/>
        <v>72074</v>
      </c>
      <c r="AV37" s="19">
        <f t="shared" si="53"/>
        <v>9.548519577101313</v>
      </c>
      <c r="AW37" s="19" t="e">
        <f t="shared" si="54"/>
        <v>#DIV/0!</v>
      </c>
      <c r="AX37" s="19">
        <f t="shared" si="55"/>
        <v>4.4676304908843685</v>
      </c>
      <c r="AY37" s="19" t="e">
        <f t="shared" si="56"/>
        <v>#DIV/0!</v>
      </c>
      <c r="AZ37" s="19">
        <f t="shared" si="57"/>
        <v>9.548519577101313</v>
      </c>
      <c r="BA37" s="19">
        <f t="shared" si="58"/>
        <v>4.4676304908843685</v>
      </c>
      <c r="BB37" s="11">
        <f t="shared" si="33"/>
        <v>46.78872420807904</v>
      </c>
    </row>
    <row r="38" spans="1:54" ht="12.75">
      <c r="A38" s="1" t="s">
        <v>101</v>
      </c>
      <c r="B38" s="12" t="s">
        <v>37</v>
      </c>
      <c r="C38" s="4">
        <v>23593</v>
      </c>
      <c r="D38" s="4">
        <v>27038</v>
      </c>
      <c r="E38" s="4">
        <f t="shared" si="36"/>
        <v>50631</v>
      </c>
      <c r="F38" s="4">
        <v>2782</v>
      </c>
      <c r="G38" s="4">
        <v>224</v>
      </c>
      <c r="H38" s="4">
        <f t="shared" si="37"/>
        <v>3006</v>
      </c>
      <c r="I38" s="13">
        <f t="shared" si="38"/>
        <v>5.937074124548201</v>
      </c>
      <c r="J38" s="13">
        <f t="shared" si="39"/>
        <v>46.59793407201122</v>
      </c>
      <c r="K38" s="13">
        <f t="shared" si="40"/>
        <v>92.54823685961411</v>
      </c>
      <c r="L38" s="13">
        <f t="shared" si="20"/>
        <v>45.95030278760289</v>
      </c>
      <c r="M38" s="5">
        <f>6520+1260</f>
        <v>7780</v>
      </c>
      <c r="N38" s="5">
        <f>1784+8</f>
        <v>1792</v>
      </c>
      <c r="O38" s="5">
        <f t="shared" si="21"/>
        <v>9572</v>
      </c>
      <c r="P38" s="5">
        <v>1686</v>
      </c>
      <c r="Q38" s="5">
        <v>1296</v>
      </c>
      <c r="R38" s="5">
        <f t="shared" si="22"/>
        <v>2982</v>
      </c>
      <c r="S38" s="14">
        <f t="shared" si="23"/>
        <v>31.153363978269955</v>
      </c>
      <c r="T38" s="6">
        <v>1788</v>
      </c>
      <c r="U38" s="6">
        <v>1067</v>
      </c>
      <c r="V38" s="6">
        <f t="shared" si="24"/>
        <v>2855</v>
      </c>
      <c r="W38" s="6">
        <v>1199</v>
      </c>
      <c r="X38" s="6">
        <v>755</v>
      </c>
      <c r="Y38" s="6">
        <f t="shared" si="25"/>
        <v>1954</v>
      </c>
      <c r="Z38" s="15">
        <f t="shared" si="34"/>
        <v>67.05816554809843</v>
      </c>
      <c r="AA38" s="15">
        <f t="shared" si="59"/>
        <v>70.75913776944705</v>
      </c>
      <c r="AB38" s="7">
        <v>235</v>
      </c>
      <c r="AC38" s="7">
        <v>311</v>
      </c>
      <c r="AD38" s="7">
        <f t="shared" si="26"/>
        <v>546</v>
      </c>
      <c r="AE38" s="7">
        <v>46</v>
      </c>
      <c r="AF38" s="7">
        <v>203</v>
      </c>
      <c r="AG38" s="7">
        <f t="shared" si="27"/>
        <v>249</v>
      </c>
      <c r="AH38" s="16">
        <f t="shared" si="41"/>
        <v>19.574468085106382</v>
      </c>
      <c r="AI38" s="16">
        <f t="shared" si="42"/>
        <v>65.27331189710611</v>
      </c>
      <c r="AJ38" s="8">
        <f t="shared" si="43"/>
        <v>9803</v>
      </c>
      <c r="AK38" s="8">
        <f t="shared" si="44"/>
        <v>3170</v>
      </c>
      <c r="AL38" s="8">
        <f t="shared" si="45"/>
        <v>12973</v>
      </c>
      <c r="AM38" s="8">
        <f t="shared" si="46"/>
        <v>2931</v>
      </c>
      <c r="AN38" s="8">
        <f t="shared" si="47"/>
        <v>2254</v>
      </c>
      <c r="AO38" s="8">
        <f t="shared" si="48"/>
        <v>5185</v>
      </c>
      <c r="AP38" s="17">
        <f t="shared" si="49"/>
        <v>29.899010506987654</v>
      </c>
      <c r="AQ38" s="17">
        <f t="shared" si="50"/>
        <v>71.10410094637224</v>
      </c>
      <c r="AR38" s="17">
        <f t="shared" si="51"/>
        <v>39.96762506744778</v>
      </c>
      <c r="AS38" s="18">
        <v>137858</v>
      </c>
      <c r="AT38" s="18">
        <v>13812</v>
      </c>
      <c r="AU38" s="18">
        <f t="shared" si="52"/>
        <v>151670</v>
      </c>
      <c r="AV38" s="19">
        <f t="shared" si="53"/>
        <v>7.110940242858593</v>
      </c>
      <c r="AW38" s="19">
        <f t="shared" si="54"/>
        <v>22.95105705183898</v>
      </c>
      <c r="AX38" s="19">
        <f t="shared" si="55"/>
        <v>2.1261007703579042</v>
      </c>
      <c r="AY38" s="19">
        <f t="shared" si="56"/>
        <v>16.319142774399072</v>
      </c>
      <c r="AZ38" s="19">
        <f t="shared" si="57"/>
        <v>8.553438385969539</v>
      </c>
      <c r="BA38" s="19">
        <f t="shared" si="58"/>
        <v>3.418606184479462</v>
      </c>
      <c r="BB38" s="11">
        <f t="shared" si="33"/>
        <v>39.96762506744778</v>
      </c>
    </row>
    <row r="39" spans="1:54" ht="12.75">
      <c r="A39" s="1" t="s">
        <v>102</v>
      </c>
      <c r="B39" s="12" t="s">
        <v>38</v>
      </c>
      <c r="C39" s="4">
        <v>9284</v>
      </c>
      <c r="D39" s="4">
        <f>975+119</f>
        <v>1094</v>
      </c>
      <c r="E39" s="4">
        <f t="shared" si="36"/>
        <v>10378</v>
      </c>
      <c r="F39" s="4">
        <f>2145+448</f>
        <v>2593</v>
      </c>
      <c r="G39" s="4">
        <v>112</v>
      </c>
      <c r="H39" s="4">
        <f t="shared" si="37"/>
        <v>2705</v>
      </c>
      <c r="I39" s="13">
        <f t="shared" si="38"/>
        <v>26.064752360763155</v>
      </c>
      <c r="J39" s="13">
        <f t="shared" si="39"/>
        <v>89.45846984004625</v>
      </c>
      <c r="K39" s="13">
        <f t="shared" si="40"/>
        <v>95.85951940850276</v>
      </c>
      <c r="L39" s="13">
        <f t="shared" si="20"/>
        <v>6.401049568456514</v>
      </c>
      <c r="M39" s="5">
        <f>2172+230</f>
        <v>2402</v>
      </c>
      <c r="N39" s="5">
        <f>2203+26</f>
        <v>2229</v>
      </c>
      <c r="O39" s="5">
        <f t="shared" si="21"/>
        <v>4631</v>
      </c>
      <c r="P39" s="5">
        <v>860</v>
      </c>
      <c r="Q39" s="5">
        <v>1477</v>
      </c>
      <c r="R39" s="5">
        <f t="shared" si="22"/>
        <v>2337</v>
      </c>
      <c r="S39" s="14">
        <f t="shared" si="23"/>
        <v>50.46426257827683</v>
      </c>
      <c r="T39" s="6">
        <v>838</v>
      </c>
      <c r="U39" s="6">
        <v>789</v>
      </c>
      <c r="V39" s="6">
        <f t="shared" si="24"/>
        <v>1627</v>
      </c>
      <c r="W39" s="6">
        <v>596</v>
      </c>
      <c r="X39" s="6">
        <v>708</v>
      </c>
      <c r="Y39" s="6">
        <f t="shared" si="25"/>
        <v>1304</v>
      </c>
      <c r="Z39" s="15">
        <f t="shared" si="34"/>
        <v>71.1217183770883</v>
      </c>
      <c r="AA39" s="15">
        <f t="shared" si="59"/>
        <v>89.73384030418251</v>
      </c>
      <c r="AB39" s="7">
        <v>139</v>
      </c>
      <c r="AC39" s="7">
        <v>378</v>
      </c>
      <c r="AD39" s="7">
        <f t="shared" si="26"/>
        <v>517</v>
      </c>
      <c r="AE39" s="7">
        <v>36</v>
      </c>
      <c r="AF39" s="7">
        <v>227</v>
      </c>
      <c r="AG39" s="7">
        <f t="shared" si="27"/>
        <v>263</v>
      </c>
      <c r="AH39" s="16">
        <f t="shared" si="41"/>
        <v>25.899280575539567</v>
      </c>
      <c r="AI39" s="16">
        <f t="shared" si="42"/>
        <v>60.05291005291006</v>
      </c>
      <c r="AJ39" s="8">
        <f t="shared" si="43"/>
        <v>3379</v>
      </c>
      <c r="AK39" s="8">
        <f t="shared" si="44"/>
        <v>3396</v>
      </c>
      <c r="AL39" s="8">
        <f t="shared" si="45"/>
        <v>6775</v>
      </c>
      <c r="AM39" s="8">
        <f t="shared" si="46"/>
        <v>1492</v>
      </c>
      <c r="AN39" s="8">
        <f t="shared" si="47"/>
        <v>2412</v>
      </c>
      <c r="AO39" s="8">
        <f t="shared" si="48"/>
        <v>3904</v>
      </c>
      <c r="AP39" s="17">
        <f t="shared" si="49"/>
        <v>44.15507546611423</v>
      </c>
      <c r="AQ39" s="17">
        <f t="shared" si="50"/>
        <v>71.02473498233216</v>
      </c>
      <c r="AR39" s="17">
        <f t="shared" si="51"/>
        <v>57.62361623616237</v>
      </c>
      <c r="AS39" s="18">
        <v>38414</v>
      </c>
      <c r="AT39" s="18">
        <v>20846</v>
      </c>
      <c r="AU39" s="18">
        <f t="shared" si="52"/>
        <v>59260</v>
      </c>
      <c r="AV39" s="19">
        <f t="shared" si="53"/>
        <v>8.796272192429843</v>
      </c>
      <c r="AW39" s="19">
        <f t="shared" si="54"/>
        <v>16.29089513575746</v>
      </c>
      <c r="AX39" s="19">
        <f t="shared" si="55"/>
        <v>3.8840006247722187</v>
      </c>
      <c r="AY39" s="19">
        <f t="shared" si="56"/>
        <v>11.570565096421376</v>
      </c>
      <c r="AZ39" s="19">
        <f t="shared" si="57"/>
        <v>11.432669591630104</v>
      </c>
      <c r="BA39" s="19">
        <f t="shared" si="58"/>
        <v>6.587917651029363</v>
      </c>
      <c r="BB39" s="11">
        <f t="shared" si="33"/>
        <v>57.62361623616237</v>
      </c>
    </row>
    <row r="40" spans="1:54" ht="12.75">
      <c r="A40" s="1" t="s">
        <v>103</v>
      </c>
      <c r="B40" s="12" t="s">
        <v>39</v>
      </c>
      <c r="C40" s="4">
        <v>5225</v>
      </c>
      <c r="D40" s="4">
        <v>23077</v>
      </c>
      <c r="E40" s="4">
        <f t="shared" si="36"/>
        <v>28302</v>
      </c>
      <c r="F40" s="4">
        <v>140</v>
      </c>
      <c r="G40" s="4">
        <v>62</v>
      </c>
      <c r="H40" s="4">
        <f t="shared" si="37"/>
        <v>202</v>
      </c>
      <c r="I40" s="13">
        <f t="shared" si="38"/>
        <v>0.7137304784114197</v>
      </c>
      <c r="J40" s="13">
        <f t="shared" si="39"/>
        <v>18.461592820295387</v>
      </c>
      <c r="K40" s="13">
        <f t="shared" si="40"/>
        <v>69.3069306930693</v>
      </c>
      <c r="L40" s="13">
        <f t="shared" si="20"/>
        <v>50.84533787277392</v>
      </c>
      <c r="M40" s="5">
        <f>3784+231</f>
        <v>4015</v>
      </c>
      <c r="O40" s="5">
        <f t="shared" si="21"/>
        <v>4015</v>
      </c>
      <c r="P40" s="5">
        <v>1056</v>
      </c>
      <c r="R40" s="5">
        <f t="shared" si="22"/>
        <v>1056</v>
      </c>
      <c r="S40" s="14">
        <f t="shared" si="23"/>
        <v>26.301369863013697</v>
      </c>
      <c r="T40" s="6">
        <v>2451</v>
      </c>
      <c r="U40" s="6"/>
      <c r="V40" s="6">
        <f t="shared" si="24"/>
        <v>2451</v>
      </c>
      <c r="W40" s="6">
        <v>1118</v>
      </c>
      <c r="X40" s="6"/>
      <c r="Y40" s="6">
        <f t="shared" si="25"/>
        <v>1118</v>
      </c>
      <c r="Z40" s="15">
        <f t="shared" si="34"/>
        <v>45.614035087719294</v>
      </c>
      <c r="AA40" s="15" t="e">
        <f t="shared" si="59"/>
        <v>#DIV/0!</v>
      </c>
      <c r="AB40" s="7">
        <v>1114</v>
      </c>
      <c r="AC40" s="7"/>
      <c r="AD40" s="7">
        <f t="shared" si="26"/>
        <v>1114</v>
      </c>
      <c r="AE40" s="7">
        <v>126</v>
      </c>
      <c r="AF40" s="7"/>
      <c r="AG40" s="7">
        <f t="shared" si="27"/>
        <v>126</v>
      </c>
      <c r="AH40" s="16">
        <f t="shared" si="41"/>
        <v>11.310592459605028</v>
      </c>
      <c r="AI40" s="16" t="e">
        <f t="shared" si="42"/>
        <v>#DIV/0!</v>
      </c>
      <c r="AJ40" s="8">
        <f t="shared" si="43"/>
        <v>7580</v>
      </c>
      <c r="AK40" s="8">
        <f t="shared" si="44"/>
        <v>0</v>
      </c>
      <c r="AL40" s="8">
        <f t="shared" si="45"/>
        <v>7580</v>
      </c>
      <c r="AM40" s="8">
        <f t="shared" si="46"/>
        <v>2300</v>
      </c>
      <c r="AN40" s="8">
        <f t="shared" si="47"/>
        <v>0</v>
      </c>
      <c r="AO40" s="8">
        <f t="shared" si="48"/>
        <v>2300</v>
      </c>
      <c r="AP40" s="17">
        <f t="shared" si="49"/>
        <v>30.343007915567284</v>
      </c>
      <c r="AQ40" s="17" t="e">
        <f t="shared" si="50"/>
        <v>#DIV/0!</v>
      </c>
      <c r="AR40" s="17">
        <f t="shared" si="51"/>
        <v>30.343007915567284</v>
      </c>
      <c r="AS40" s="18">
        <v>75768</v>
      </c>
      <c r="AT40" s="18"/>
      <c r="AU40" s="18">
        <f t="shared" si="52"/>
        <v>75768</v>
      </c>
      <c r="AV40" s="19">
        <f t="shared" si="53"/>
        <v>10.004223418857565</v>
      </c>
      <c r="AW40" s="19" t="e">
        <f t="shared" si="54"/>
        <v>#DIV/0!</v>
      </c>
      <c r="AX40" s="19">
        <f t="shared" si="55"/>
        <v>3.0355823038749867</v>
      </c>
      <c r="AY40" s="19" t="e">
        <f t="shared" si="56"/>
        <v>#DIV/0!</v>
      </c>
      <c r="AZ40" s="19">
        <f t="shared" si="57"/>
        <v>10.004223418857565</v>
      </c>
      <c r="BA40" s="19">
        <f t="shared" si="58"/>
        <v>3.0355823038749867</v>
      </c>
      <c r="BB40" s="11">
        <f t="shared" si="33"/>
        <v>30.343007915567284</v>
      </c>
    </row>
    <row r="41" spans="1:54" ht="12.75">
      <c r="A41" s="1" t="s">
        <v>104</v>
      </c>
      <c r="B41" s="12" t="s">
        <v>40</v>
      </c>
      <c r="C41" s="4">
        <v>10753</v>
      </c>
      <c r="D41" s="4">
        <v>2369</v>
      </c>
      <c r="E41" s="4">
        <f t="shared" si="36"/>
        <v>13122</v>
      </c>
      <c r="F41" s="4">
        <v>1275</v>
      </c>
      <c r="G41" s="4">
        <v>54</v>
      </c>
      <c r="H41" s="4">
        <f t="shared" si="37"/>
        <v>1329</v>
      </c>
      <c r="I41" s="13">
        <f t="shared" si="38"/>
        <v>10.128029263831733</v>
      </c>
      <c r="J41" s="13">
        <f t="shared" si="39"/>
        <v>81.94634964182289</v>
      </c>
      <c r="K41" s="13">
        <f t="shared" si="40"/>
        <v>95.93679458239278</v>
      </c>
      <c r="L41" s="13">
        <f t="shared" si="20"/>
        <v>13.990444940569887</v>
      </c>
      <c r="M41" s="5">
        <f>4463+649</f>
        <v>5112</v>
      </c>
      <c r="O41" s="5">
        <f t="shared" si="21"/>
        <v>5112</v>
      </c>
      <c r="P41" s="5">
        <f>1585+57</f>
        <v>1642</v>
      </c>
      <c r="R41" s="5">
        <f t="shared" si="22"/>
        <v>1642</v>
      </c>
      <c r="S41" s="14">
        <f t="shared" si="23"/>
        <v>32.12050078247261</v>
      </c>
      <c r="T41" s="6">
        <v>1752</v>
      </c>
      <c r="U41" s="6"/>
      <c r="V41" s="6">
        <f t="shared" si="24"/>
        <v>1752</v>
      </c>
      <c r="W41" s="6">
        <v>1135</v>
      </c>
      <c r="X41" s="6"/>
      <c r="Y41" s="6">
        <f t="shared" si="25"/>
        <v>1135</v>
      </c>
      <c r="Z41" s="15">
        <f t="shared" si="34"/>
        <v>64.78310502283105</v>
      </c>
      <c r="AA41" s="15" t="e">
        <f t="shared" si="59"/>
        <v>#DIV/0!</v>
      </c>
      <c r="AB41" s="7">
        <v>425</v>
      </c>
      <c r="AC41" s="7"/>
      <c r="AD41" s="7">
        <f t="shared" si="26"/>
        <v>425</v>
      </c>
      <c r="AE41" s="7">
        <v>143</v>
      </c>
      <c r="AF41" s="7"/>
      <c r="AG41" s="7">
        <f t="shared" si="27"/>
        <v>143</v>
      </c>
      <c r="AH41" s="16">
        <f t="shared" si="41"/>
        <v>33.64705882352941</v>
      </c>
      <c r="AI41" s="16" t="e">
        <f t="shared" si="42"/>
        <v>#DIV/0!</v>
      </c>
      <c r="AJ41" s="8">
        <f t="shared" si="43"/>
        <v>7289</v>
      </c>
      <c r="AK41" s="8">
        <f t="shared" si="44"/>
        <v>0</v>
      </c>
      <c r="AL41" s="8">
        <f t="shared" si="45"/>
        <v>7289</v>
      </c>
      <c r="AM41" s="8">
        <f t="shared" si="46"/>
        <v>2920</v>
      </c>
      <c r="AN41" s="8">
        <f t="shared" si="47"/>
        <v>0</v>
      </c>
      <c r="AO41" s="8">
        <f t="shared" si="48"/>
        <v>2920</v>
      </c>
      <c r="AP41" s="17">
        <f t="shared" si="49"/>
        <v>40.06036493346138</v>
      </c>
      <c r="AQ41" s="17" t="e">
        <f t="shared" si="50"/>
        <v>#DIV/0!</v>
      </c>
      <c r="AR41" s="17">
        <f t="shared" si="51"/>
        <v>40.06036493346138</v>
      </c>
      <c r="AS41" s="18">
        <v>64517</v>
      </c>
      <c r="AT41" s="18"/>
      <c r="AU41" s="18">
        <f t="shared" si="52"/>
        <v>64517</v>
      </c>
      <c r="AV41" s="19">
        <f t="shared" si="53"/>
        <v>11.297797479734022</v>
      </c>
      <c r="AW41" s="19" t="e">
        <f t="shared" si="54"/>
        <v>#DIV/0!</v>
      </c>
      <c r="AX41" s="19">
        <f t="shared" si="55"/>
        <v>4.525938899824852</v>
      </c>
      <c r="AY41" s="19" t="e">
        <f t="shared" si="56"/>
        <v>#DIV/0!</v>
      </c>
      <c r="AZ41" s="19">
        <f t="shared" si="57"/>
        <v>11.297797479734022</v>
      </c>
      <c r="BA41" s="19">
        <f t="shared" si="58"/>
        <v>4.525938899824852</v>
      </c>
      <c r="BB41" s="11">
        <f t="shared" si="33"/>
        <v>40.06036493346138</v>
      </c>
    </row>
    <row r="42" spans="1:54" ht="12.75">
      <c r="A42" s="1" t="s">
        <v>105</v>
      </c>
      <c r="B42" s="12" t="s">
        <v>41</v>
      </c>
      <c r="C42" s="4">
        <f>14488+491</f>
        <v>14979</v>
      </c>
      <c r="D42" s="4">
        <v>9692</v>
      </c>
      <c r="E42" s="4">
        <f t="shared" si="36"/>
        <v>24671</v>
      </c>
      <c r="F42" s="4">
        <v>1725</v>
      </c>
      <c r="G42" s="4">
        <v>76</v>
      </c>
      <c r="H42" s="4">
        <f t="shared" si="37"/>
        <v>1801</v>
      </c>
      <c r="I42" s="13">
        <f t="shared" si="38"/>
        <v>7.300068906813668</v>
      </c>
      <c r="J42" s="13">
        <f t="shared" si="39"/>
        <v>60.71500952535366</v>
      </c>
      <c r="K42" s="13">
        <f t="shared" si="40"/>
        <v>95.7801221543587</v>
      </c>
      <c r="L42" s="13">
        <f t="shared" si="20"/>
        <v>35.065112629005036</v>
      </c>
      <c r="M42" s="5">
        <f>4880+982</f>
        <v>5862</v>
      </c>
      <c r="N42" s="5">
        <f>1270+18</f>
        <v>1288</v>
      </c>
      <c r="O42" s="5">
        <f t="shared" si="21"/>
        <v>7150</v>
      </c>
      <c r="P42" s="5">
        <f>1491+91+4</f>
        <v>1586</v>
      </c>
      <c r="Q42" s="5">
        <v>833</v>
      </c>
      <c r="R42" s="5">
        <f t="shared" si="22"/>
        <v>2419</v>
      </c>
      <c r="S42" s="14">
        <f t="shared" si="23"/>
        <v>33.83216783216783</v>
      </c>
      <c r="T42" s="6">
        <v>1659</v>
      </c>
      <c r="U42" s="6">
        <v>519</v>
      </c>
      <c r="V42" s="6">
        <f t="shared" si="24"/>
        <v>2178</v>
      </c>
      <c r="W42" s="6">
        <v>1054</v>
      </c>
      <c r="X42" s="6">
        <v>423</v>
      </c>
      <c r="Y42" s="6">
        <f t="shared" si="25"/>
        <v>1477</v>
      </c>
      <c r="Z42" s="15">
        <f t="shared" si="34"/>
        <v>63.53224834237492</v>
      </c>
      <c r="AA42" s="15">
        <f t="shared" si="59"/>
        <v>81.5028901734104</v>
      </c>
      <c r="AB42" s="7">
        <v>436</v>
      </c>
      <c r="AC42" s="7">
        <v>167</v>
      </c>
      <c r="AD42" s="7">
        <f t="shared" si="26"/>
        <v>603</v>
      </c>
      <c r="AE42" s="7">
        <v>98</v>
      </c>
      <c r="AF42" s="7">
        <v>81</v>
      </c>
      <c r="AG42" s="7">
        <f t="shared" si="27"/>
        <v>179</v>
      </c>
      <c r="AH42" s="16">
        <f t="shared" si="41"/>
        <v>22.477064220183486</v>
      </c>
      <c r="AI42" s="16">
        <f t="shared" si="42"/>
        <v>48.50299401197605</v>
      </c>
      <c r="AJ42" s="8">
        <f t="shared" si="43"/>
        <v>7957</v>
      </c>
      <c r="AK42" s="8">
        <f t="shared" si="44"/>
        <v>1974</v>
      </c>
      <c r="AL42" s="8">
        <f t="shared" si="45"/>
        <v>9931</v>
      </c>
      <c r="AM42" s="8">
        <f t="shared" si="46"/>
        <v>2738</v>
      </c>
      <c r="AN42" s="8">
        <f t="shared" si="47"/>
        <v>1337</v>
      </c>
      <c r="AO42" s="8">
        <f t="shared" si="48"/>
        <v>4075</v>
      </c>
      <c r="AP42" s="17">
        <f t="shared" si="49"/>
        <v>34.40995350006284</v>
      </c>
      <c r="AQ42" s="17">
        <f t="shared" si="50"/>
        <v>67.73049645390071</v>
      </c>
      <c r="AR42" s="17">
        <f t="shared" si="51"/>
        <v>41.03312858725204</v>
      </c>
      <c r="AS42" s="18">
        <v>80331</v>
      </c>
      <c r="AT42" s="18">
        <v>7360</v>
      </c>
      <c r="AU42" s="18">
        <f t="shared" si="52"/>
        <v>87691</v>
      </c>
      <c r="AV42" s="19">
        <f t="shared" si="53"/>
        <v>9.905266957961436</v>
      </c>
      <c r="AW42" s="19">
        <f t="shared" si="54"/>
        <v>26.820652173913047</v>
      </c>
      <c r="AX42" s="19">
        <f t="shared" si="55"/>
        <v>3.4083977542916184</v>
      </c>
      <c r="AY42" s="19">
        <f t="shared" si="56"/>
        <v>18.16576086956522</v>
      </c>
      <c r="AZ42" s="19">
        <f t="shared" si="57"/>
        <v>11.324993442884674</v>
      </c>
      <c r="BA42" s="19">
        <f t="shared" si="58"/>
        <v>4.64699912191673</v>
      </c>
      <c r="BB42" s="11">
        <f t="shared" si="33"/>
        <v>41.03312858725204</v>
      </c>
    </row>
    <row r="43" spans="1:54" ht="12.75">
      <c r="A43" s="1" t="s">
        <v>106</v>
      </c>
      <c r="B43" s="12" t="s">
        <v>42</v>
      </c>
      <c r="C43" s="4">
        <v>9254</v>
      </c>
      <c r="D43" s="4">
        <v>12894</v>
      </c>
      <c r="E43" s="4">
        <f t="shared" si="36"/>
        <v>22148</v>
      </c>
      <c r="F43" s="4">
        <v>431</v>
      </c>
      <c r="G43" s="4">
        <v>61</v>
      </c>
      <c r="H43" s="4">
        <f t="shared" si="37"/>
        <v>492</v>
      </c>
      <c r="I43" s="13">
        <f t="shared" si="38"/>
        <v>2.2214195412678346</v>
      </c>
      <c r="J43" s="13">
        <f t="shared" si="39"/>
        <v>41.78255372945638</v>
      </c>
      <c r="K43" s="13">
        <f t="shared" si="40"/>
        <v>87.60162601626016</v>
      </c>
      <c r="L43" s="13">
        <f t="shared" si="20"/>
        <v>45.819072286803774</v>
      </c>
      <c r="M43" s="5">
        <f>2713+721</f>
        <v>3434</v>
      </c>
      <c r="O43" s="5">
        <f t="shared" si="21"/>
        <v>3434</v>
      </c>
      <c r="P43" s="5">
        <v>973</v>
      </c>
      <c r="R43" s="5">
        <f t="shared" si="22"/>
        <v>973</v>
      </c>
      <c r="S43" s="14">
        <f t="shared" si="23"/>
        <v>28.33430401863716</v>
      </c>
      <c r="T43" s="6">
        <v>701</v>
      </c>
      <c r="U43" s="6"/>
      <c r="V43" s="6">
        <f t="shared" si="24"/>
        <v>701</v>
      </c>
      <c r="W43" s="6">
        <v>413</v>
      </c>
      <c r="X43" s="6"/>
      <c r="Y43" s="6">
        <f t="shared" si="25"/>
        <v>413</v>
      </c>
      <c r="Z43" s="15">
        <f t="shared" si="34"/>
        <v>58.91583452211127</v>
      </c>
      <c r="AA43" s="15" t="e">
        <f t="shared" si="59"/>
        <v>#DIV/0!</v>
      </c>
      <c r="AB43" s="7">
        <v>135</v>
      </c>
      <c r="AC43" s="7"/>
      <c r="AD43" s="7">
        <f t="shared" si="26"/>
        <v>135</v>
      </c>
      <c r="AE43" s="7">
        <v>21</v>
      </c>
      <c r="AF43" s="7"/>
      <c r="AG43" s="7">
        <f t="shared" si="27"/>
        <v>21</v>
      </c>
      <c r="AH43" s="16">
        <f t="shared" si="41"/>
        <v>15.555555555555555</v>
      </c>
      <c r="AI43" s="16" t="e">
        <f t="shared" si="42"/>
        <v>#DIV/0!</v>
      </c>
      <c r="AJ43" s="8">
        <f t="shared" si="43"/>
        <v>4270</v>
      </c>
      <c r="AK43" s="8">
        <f t="shared" si="44"/>
        <v>0</v>
      </c>
      <c r="AL43" s="8">
        <f t="shared" si="45"/>
        <v>4270</v>
      </c>
      <c r="AM43" s="8">
        <f t="shared" si="46"/>
        <v>1407</v>
      </c>
      <c r="AN43" s="8">
        <f t="shared" si="47"/>
        <v>0</v>
      </c>
      <c r="AO43" s="8">
        <f t="shared" si="48"/>
        <v>1407</v>
      </c>
      <c r="AP43" s="17">
        <f t="shared" si="49"/>
        <v>32.950819672131146</v>
      </c>
      <c r="AQ43" s="17" t="e">
        <f t="shared" si="50"/>
        <v>#DIV/0!</v>
      </c>
      <c r="AR43" s="17">
        <f t="shared" si="51"/>
        <v>32.950819672131146</v>
      </c>
      <c r="AS43" s="18">
        <v>54061</v>
      </c>
      <c r="AT43" s="18"/>
      <c r="AU43" s="18">
        <f t="shared" si="52"/>
        <v>54061</v>
      </c>
      <c r="AV43" s="19">
        <f t="shared" si="53"/>
        <v>7.8984850446717605</v>
      </c>
      <c r="AW43" s="19" t="e">
        <f t="shared" si="54"/>
        <v>#DIV/0!</v>
      </c>
      <c r="AX43" s="19">
        <f t="shared" si="55"/>
        <v>2.602615563900039</v>
      </c>
      <c r="AY43" s="19" t="e">
        <f t="shared" si="56"/>
        <v>#DIV/0!</v>
      </c>
      <c r="AZ43" s="19">
        <f t="shared" si="57"/>
        <v>7.8984850446717605</v>
      </c>
      <c r="BA43" s="19">
        <f t="shared" si="58"/>
        <v>2.602615563900039</v>
      </c>
      <c r="BB43" s="11">
        <f t="shared" si="33"/>
        <v>32.950819672131146</v>
      </c>
    </row>
    <row r="44" spans="1:54" ht="12.75">
      <c r="A44" s="1" t="s">
        <v>107</v>
      </c>
      <c r="B44" s="12" t="s">
        <v>43</v>
      </c>
      <c r="C44" s="4">
        <v>3314</v>
      </c>
      <c r="D44" s="4">
        <v>4200</v>
      </c>
      <c r="E44" s="4">
        <f t="shared" si="36"/>
        <v>7514</v>
      </c>
      <c r="F44" s="4">
        <v>155</v>
      </c>
      <c r="G44" s="4">
        <v>8</v>
      </c>
      <c r="H44" s="4">
        <f t="shared" si="37"/>
        <v>163</v>
      </c>
      <c r="I44" s="13">
        <f t="shared" si="38"/>
        <v>2.1692840031940377</v>
      </c>
      <c r="J44" s="13">
        <f t="shared" si="39"/>
        <v>44.10433856800639</v>
      </c>
      <c r="K44" s="13">
        <f t="shared" si="40"/>
        <v>95.0920245398773</v>
      </c>
      <c r="L44" s="13">
        <f t="shared" si="20"/>
        <v>50.98768597187091</v>
      </c>
      <c r="M44" s="5">
        <f>1059+199</f>
        <v>1258</v>
      </c>
      <c r="O44" s="5">
        <f t="shared" si="21"/>
        <v>1258</v>
      </c>
      <c r="P44" s="5">
        <v>305</v>
      </c>
      <c r="R44" s="5">
        <f t="shared" si="22"/>
        <v>305</v>
      </c>
      <c r="S44" s="14">
        <f t="shared" si="23"/>
        <v>24.24483306836248</v>
      </c>
      <c r="T44" s="6">
        <v>560</v>
      </c>
      <c r="U44" s="6"/>
      <c r="V44" s="6">
        <f t="shared" si="24"/>
        <v>560</v>
      </c>
      <c r="W44" s="6">
        <v>260</v>
      </c>
      <c r="X44" s="6"/>
      <c r="Y44" s="6">
        <f t="shared" si="25"/>
        <v>260</v>
      </c>
      <c r="Z44" s="15">
        <f t="shared" si="34"/>
        <v>46.42857142857143</v>
      </c>
      <c r="AA44" s="15" t="e">
        <f t="shared" si="59"/>
        <v>#DIV/0!</v>
      </c>
      <c r="AB44" s="7">
        <v>102</v>
      </c>
      <c r="AC44" s="7"/>
      <c r="AD44" s="7">
        <f t="shared" si="26"/>
        <v>102</v>
      </c>
      <c r="AE44" s="7">
        <v>27</v>
      </c>
      <c r="AF44" s="7"/>
      <c r="AG44" s="7">
        <f t="shared" si="27"/>
        <v>27</v>
      </c>
      <c r="AH44" s="16">
        <f t="shared" si="41"/>
        <v>26.47058823529412</v>
      </c>
      <c r="AI44" s="16" t="e">
        <f t="shared" si="42"/>
        <v>#DIV/0!</v>
      </c>
      <c r="AJ44" s="8">
        <f t="shared" si="43"/>
        <v>1920</v>
      </c>
      <c r="AK44" s="8">
        <f t="shared" si="44"/>
        <v>0</v>
      </c>
      <c r="AL44" s="8">
        <f t="shared" si="45"/>
        <v>1920</v>
      </c>
      <c r="AM44" s="8">
        <f t="shared" si="46"/>
        <v>592</v>
      </c>
      <c r="AN44" s="8">
        <f t="shared" si="47"/>
        <v>0</v>
      </c>
      <c r="AO44" s="8">
        <f t="shared" si="48"/>
        <v>592</v>
      </c>
      <c r="AP44" s="17">
        <f t="shared" si="49"/>
        <v>30.833333333333336</v>
      </c>
      <c r="AQ44" s="17" t="e">
        <f t="shared" si="50"/>
        <v>#DIV/0!</v>
      </c>
      <c r="AR44" s="17">
        <f t="shared" si="51"/>
        <v>30.833333333333336</v>
      </c>
      <c r="AS44" s="18">
        <v>18701</v>
      </c>
      <c r="AT44" s="18"/>
      <c r="AU44" s="18">
        <f t="shared" si="52"/>
        <v>18701</v>
      </c>
      <c r="AV44" s="19">
        <f t="shared" si="53"/>
        <v>10.26683065076734</v>
      </c>
      <c r="AW44" s="19" t="e">
        <f t="shared" si="54"/>
        <v>#DIV/0!</v>
      </c>
      <c r="AX44" s="19">
        <f t="shared" si="55"/>
        <v>3.1656061173199292</v>
      </c>
      <c r="AY44" s="19" t="e">
        <f t="shared" si="56"/>
        <v>#DIV/0!</v>
      </c>
      <c r="AZ44" s="19">
        <f t="shared" si="57"/>
        <v>10.26683065076734</v>
      </c>
      <c r="BA44" s="19">
        <f t="shared" si="58"/>
        <v>3.1656061173199292</v>
      </c>
      <c r="BB44" s="11">
        <f t="shared" si="33"/>
        <v>30.83333333333333</v>
      </c>
    </row>
    <row r="45" spans="1:54" ht="12.75">
      <c r="A45" s="1" t="s">
        <v>108</v>
      </c>
      <c r="B45" s="12" t="s">
        <v>44</v>
      </c>
      <c r="C45" s="4">
        <f>13643+274</f>
        <v>13917</v>
      </c>
      <c r="D45" s="4">
        <f>14595+97</f>
        <v>14692</v>
      </c>
      <c r="E45" s="4">
        <f t="shared" si="36"/>
        <v>28609</v>
      </c>
      <c r="F45" s="4">
        <v>2241</v>
      </c>
      <c r="G45" s="4">
        <v>609</v>
      </c>
      <c r="H45" s="4">
        <f t="shared" si="37"/>
        <v>2850</v>
      </c>
      <c r="I45" s="13">
        <f t="shared" si="38"/>
        <v>9.961900101366702</v>
      </c>
      <c r="J45" s="13">
        <f t="shared" si="39"/>
        <v>48.645531126568564</v>
      </c>
      <c r="K45" s="13">
        <f t="shared" si="40"/>
        <v>78.63157894736842</v>
      </c>
      <c r="L45" s="13">
        <f t="shared" si="20"/>
        <v>29.98604782079986</v>
      </c>
      <c r="M45" s="5">
        <f>4141+527</f>
        <v>4668</v>
      </c>
      <c r="N45" s="5">
        <f>1351+103</f>
        <v>1454</v>
      </c>
      <c r="O45" s="5">
        <f t="shared" si="21"/>
        <v>6122</v>
      </c>
      <c r="P45" s="5">
        <v>1162</v>
      </c>
      <c r="Q45" s="5">
        <v>818</v>
      </c>
      <c r="R45" s="5">
        <f t="shared" si="22"/>
        <v>1980</v>
      </c>
      <c r="S45" s="14">
        <f t="shared" si="23"/>
        <v>32.34237177393009</v>
      </c>
      <c r="T45" s="6">
        <v>995</v>
      </c>
      <c r="U45" s="6">
        <v>673</v>
      </c>
      <c r="V45" s="6">
        <f t="shared" si="24"/>
        <v>1668</v>
      </c>
      <c r="W45" s="6">
        <v>728</v>
      </c>
      <c r="X45" s="6">
        <v>520</v>
      </c>
      <c r="Y45" s="6">
        <f t="shared" si="25"/>
        <v>1248</v>
      </c>
      <c r="Z45" s="15">
        <f t="shared" si="34"/>
        <v>73.16582914572865</v>
      </c>
      <c r="AA45" s="15">
        <f t="shared" si="59"/>
        <v>77.26597325408619</v>
      </c>
      <c r="AB45" s="7">
        <v>185</v>
      </c>
      <c r="AC45" s="7">
        <v>275</v>
      </c>
      <c r="AD45" s="7">
        <f t="shared" si="26"/>
        <v>460</v>
      </c>
      <c r="AE45" s="7">
        <v>24</v>
      </c>
      <c r="AF45" s="7">
        <v>130</v>
      </c>
      <c r="AG45" s="7">
        <f t="shared" si="27"/>
        <v>154</v>
      </c>
      <c r="AH45" s="16">
        <f t="shared" si="41"/>
        <v>12.972972972972974</v>
      </c>
      <c r="AI45" s="16">
        <f t="shared" si="42"/>
        <v>47.27272727272727</v>
      </c>
      <c r="AJ45" s="8">
        <f t="shared" si="43"/>
        <v>5848</v>
      </c>
      <c r="AK45" s="8">
        <f t="shared" si="44"/>
        <v>2402</v>
      </c>
      <c r="AL45" s="8">
        <f t="shared" si="45"/>
        <v>8250</v>
      </c>
      <c r="AM45" s="8">
        <f t="shared" si="46"/>
        <v>1914</v>
      </c>
      <c r="AN45" s="8">
        <f t="shared" si="47"/>
        <v>1468</v>
      </c>
      <c r="AO45" s="8">
        <f t="shared" si="48"/>
        <v>3382</v>
      </c>
      <c r="AP45" s="17">
        <f t="shared" si="49"/>
        <v>32.729138166894664</v>
      </c>
      <c r="AQ45" s="17">
        <f t="shared" si="50"/>
        <v>61.1157368859284</v>
      </c>
      <c r="AR45" s="17">
        <f t="shared" si="51"/>
        <v>40.99393939393939</v>
      </c>
      <c r="AS45" s="18">
        <v>84828</v>
      </c>
      <c r="AT45" s="18">
        <v>14510</v>
      </c>
      <c r="AU45" s="18">
        <f t="shared" si="52"/>
        <v>99338</v>
      </c>
      <c r="AV45" s="19">
        <f t="shared" si="53"/>
        <v>6.893950110812468</v>
      </c>
      <c r="AW45" s="19">
        <f t="shared" si="54"/>
        <v>16.554100620261888</v>
      </c>
      <c r="AX45" s="19">
        <f t="shared" si="55"/>
        <v>2.2563304569246005</v>
      </c>
      <c r="AY45" s="19">
        <f t="shared" si="56"/>
        <v>10.117160578911095</v>
      </c>
      <c r="AZ45" s="19">
        <f t="shared" si="57"/>
        <v>8.304978960719966</v>
      </c>
      <c r="BA45" s="19">
        <f t="shared" si="58"/>
        <v>3.404538041836961</v>
      </c>
      <c r="BB45" s="11">
        <f t="shared" si="33"/>
        <v>40.9939393939394</v>
      </c>
    </row>
    <row r="46" spans="1:54" ht="12.75">
      <c r="A46" s="1" t="s">
        <v>109</v>
      </c>
      <c r="B46" s="12" t="s">
        <v>45</v>
      </c>
      <c r="C46" s="4">
        <v>6208</v>
      </c>
      <c r="D46" s="4">
        <v>1416</v>
      </c>
      <c r="E46" s="4">
        <f t="shared" si="36"/>
        <v>7624</v>
      </c>
      <c r="F46" s="4">
        <v>2486</v>
      </c>
      <c r="G46" s="4">
        <v>329</v>
      </c>
      <c r="H46" s="4">
        <f t="shared" si="37"/>
        <v>2815</v>
      </c>
      <c r="I46" s="13">
        <f t="shared" si="38"/>
        <v>36.922875131164744</v>
      </c>
      <c r="J46" s="13">
        <f t="shared" si="39"/>
        <v>81.4270724029381</v>
      </c>
      <c r="K46" s="13">
        <f t="shared" si="40"/>
        <v>88.3126110124334</v>
      </c>
      <c r="L46" s="13">
        <f t="shared" si="20"/>
        <v>6.885538609495299</v>
      </c>
      <c r="M46" s="5">
        <f>2159+87</f>
        <v>2246</v>
      </c>
      <c r="O46" s="5">
        <f t="shared" si="21"/>
        <v>2246</v>
      </c>
      <c r="P46" s="5">
        <v>779</v>
      </c>
      <c r="R46" s="5">
        <f t="shared" si="22"/>
        <v>779</v>
      </c>
      <c r="S46" s="14">
        <f t="shared" si="23"/>
        <v>34.68388245770258</v>
      </c>
      <c r="T46" s="6">
        <v>703</v>
      </c>
      <c r="U46" s="6"/>
      <c r="V46" s="6">
        <f t="shared" si="24"/>
        <v>703</v>
      </c>
      <c r="W46" s="6">
        <v>477</v>
      </c>
      <c r="X46" s="6"/>
      <c r="Y46" s="6">
        <f t="shared" si="25"/>
        <v>477</v>
      </c>
      <c r="Z46" s="15">
        <f t="shared" si="34"/>
        <v>67.85206258890469</v>
      </c>
      <c r="AA46" s="15" t="e">
        <f t="shared" si="59"/>
        <v>#DIV/0!</v>
      </c>
      <c r="AB46" s="7">
        <v>95</v>
      </c>
      <c r="AC46" s="7"/>
      <c r="AD46" s="7">
        <f t="shared" si="26"/>
        <v>95</v>
      </c>
      <c r="AE46" s="7">
        <v>20</v>
      </c>
      <c r="AF46" s="7"/>
      <c r="AG46" s="7">
        <f t="shared" si="27"/>
        <v>20</v>
      </c>
      <c r="AH46" s="16">
        <f t="shared" si="41"/>
        <v>21.052631578947366</v>
      </c>
      <c r="AI46" s="16" t="e">
        <f t="shared" si="42"/>
        <v>#DIV/0!</v>
      </c>
      <c r="AJ46" s="8">
        <f t="shared" si="43"/>
        <v>3044</v>
      </c>
      <c r="AK46" s="8">
        <f t="shared" si="44"/>
        <v>0</v>
      </c>
      <c r="AL46" s="8">
        <f t="shared" si="45"/>
        <v>3044</v>
      </c>
      <c r="AM46" s="8">
        <f t="shared" si="46"/>
        <v>1276</v>
      </c>
      <c r="AN46" s="8">
        <f t="shared" si="47"/>
        <v>0</v>
      </c>
      <c r="AO46" s="8">
        <f t="shared" si="48"/>
        <v>1276</v>
      </c>
      <c r="AP46" s="17">
        <f t="shared" si="49"/>
        <v>41.91852825229961</v>
      </c>
      <c r="AQ46" s="17" t="e">
        <f t="shared" si="50"/>
        <v>#DIV/0!</v>
      </c>
      <c r="AR46" s="17">
        <f t="shared" si="51"/>
        <v>41.91852825229961</v>
      </c>
      <c r="AS46" s="18">
        <v>34100</v>
      </c>
      <c r="AT46" s="18"/>
      <c r="AU46" s="18">
        <f t="shared" si="52"/>
        <v>34100</v>
      </c>
      <c r="AV46" s="19">
        <f t="shared" si="53"/>
        <v>8.926686217008797</v>
      </c>
      <c r="AW46" s="19" t="e">
        <f t="shared" si="54"/>
        <v>#DIV/0!</v>
      </c>
      <c r="AX46" s="19">
        <f t="shared" si="55"/>
        <v>3.741935483870968</v>
      </c>
      <c r="AY46" s="19" t="e">
        <f t="shared" si="56"/>
        <v>#DIV/0!</v>
      </c>
      <c r="AZ46" s="19">
        <f t="shared" si="57"/>
        <v>8.926686217008797</v>
      </c>
      <c r="BA46" s="19">
        <f t="shared" si="58"/>
        <v>3.741935483870968</v>
      </c>
      <c r="BB46" s="11">
        <f t="shared" si="33"/>
        <v>41.918528252299616</v>
      </c>
    </row>
    <row r="47" spans="1:54" ht="12.75">
      <c r="A47" s="1" t="s">
        <v>110</v>
      </c>
      <c r="B47" s="12" t="s">
        <v>46</v>
      </c>
      <c r="C47" s="4">
        <v>28788</v>
      </c>
      <c r="D47" s="4">
        <v>21560</v>
      </c>
      <c r="E47" s="4">
        <f t="shared" si="36"/>
        <v>50348</v>
      </c>
      <c r="F47" s="4">
        <v>643</v>
      </c>
      <c r="G47" s="4">
        <v>172</v>
      </c>
      <c r="H47" s="4">
        <f t="shared" si="37"/>
        <v>815</v>
      </c>
      <c r="I47" s="13">
        <f t="shared" si="38"/>
        <v>1.618733614046238</v>
      </c>
      <c r="J47" s="13">
        <f t="shared" si="39"/>
        <v>57.17804083578295</v>
      </c>
      <c r="K47" s="13">
        <f t="shared" si="40"/>
        <v>78.8957055214724</v>
      </c>
      <c r="L47" s="13">
        <f t="shared" si="20"/>
        <v>21.717664685689442</v>
      </c>
      <c r="M47" s="5">
        <f>5305+784</f>
        <v>6089</v>
      </c>
      <c r="O47" s="5">
        <f t="shared" si="21"/>
        <v>6089</v>
      </c>
      <c r="P47" s="5">
        <f>1857+4</f>
        <v>1861</v>
      </c>
      <c r="R47" s="5">
        <f t="shared" si="22"/>
        <v>1861</v>
      </c>
      <c r="S47" s="14">
        <f t="shared" si="23"/>
        <v>30.56331088848744</v>
      </c>
      <c r="T47" s="6">
        <v>1325</v>
      </c>
      <c r="U47" s="6"/>
      <c r="V47" s="6">
        <f t="shared" si="24"/>
        <v>1325</v>
      </c>
      <c r="W47" s="6">
        <v>1018</v>
      </c>
      <c r="X47" s="6"/>
      <c r="Y47" s="6">
        <f t="shared" si="25"/>
        <v>1018</v>
      </c>
      <c r="Z47" s="15">
        <f t="shared" si="34"/>
        <v>76.83018867924528</v>
      </c>
      <c r="AA47" s="15" t="e">
        <f t="shared" si="59"/>
        <v>#DIV/0!</v>
      </c>
      <c r="AB47" s="7">
        <v>550</v>
      </c>
      <c r="AC47" s="7"/>
      <c r="AD47" s="7">
        <f t="shared" si="26"/>
        <v>550</v>
      </c>
      <c r="AE47" s="7">
        <v>126</v>
      </c>
      <c r="AF47" s="7"/>
      <c r="AG47" s="7">
        <f t="shared" si="27"/>
        <v>126</v>
      </c>
      <c r="AH47" s="16">
        <f t="shared" si="41"/>
        <v>22.90909090909091</v>
      </c>
      <c r="AI47" s="16" t="e">
        <f t="shared" si="42"/>
        <v>#DIV/0!</v>
      </c>
      <c r="AJ47" s="8">
        <f t="shared" si="43"/>
        <v>7964</v>
      </c>
      <c r="AK47" s="8">
        <f t="shared" si="44"/>
        <v>0</v>
      </c>
      <c r="AL47" s="8">
        <f t="shared" si="45"/>
        <v>7964</v>
      </c>
      <c r="AM47" s="8">
        <f t="shared" si="46"/>
        <v>3005</v>
      </c>
      <c r="AN47" s="8">
        <f t="shared" si="47"/>
        <v>0</v>
      </c>
      <c r="AO47" s="8">
        <f t="shared" si="48"/>
        <v>3005</v>
      </c>
      <c r="AP47" s="17">
        <f t="shared" si="49"/>
        <v>37.73229532898041</v>
      </c>
      <c r="AQ47" s="17" t="e">
        <f t="shared" si="50"/>
        <v>#DIV/0!</v>
      </c>
      <c r="AR47" s="17">
        <f t="shared" si="51"/>
        <v>37.73229532898041</v>
      </c>
      <c r="AS47" s="18">
        <v>126939</v>
      </c>
      <c r="AT47" s="18"/>
      <c r="AU47" s="18">
        <f t="shared" si="52"/>
        <v>126939</v>
      </c>
      <c r="AV47" s="19">
        <f t="shared" si="53"/>
        <v>6.273879579955727</v>
      </c>
      <c r="AW47" s="19" t="e">
        <f t="shared" si="54"/>
        <v>#DIV/0!</v>
      </c>
      <c r="AX47" s="19">
        <f t="shared" si="55"/>
        <v>2.3672787716934907</v>
      </c>
      <c r="AY47" s="19" t="e">
        <f t="shared" si="56"/>
        <v>#DIV/0!</v>
      </c>
      <c r="AZ47" s="19">
        <f t="shared" si="57"/>
        <v>6.273879579955727</v>
      </c>
      <c r="BA47" s="19">
        <f t="shared" si="58"/>
        <v>2.3672787716934907</v>
      </c>
      <c r="BB47" s="11">
        <f t="shared" si="33"/>
        <v>37.73229532898041</v>
      </c>
    </row>
    <row r="48" spans="1:54" ht="12.75">
      <c r="A48" s="1" t="s">
        <v>111</v>
      </c>
      <c r="B48" s="12" t="s">
        <v>47</v>
      </c>
      <c r="C48" s="4">
        <f>26710+1290</f>
        <v>28000</v>
      </c>
      <c r="D48" s="4">
        <f>11396+286</f>
        <v>11682</v>
      </c>
      <c r="E48" s="4">
        <f t="shared" si="36"/>
        <v>39682</v>
      </c>
      <c r="F48" s="4">
        <f>6223+63+252</f>
        <v>6538</v>
      </c>
      <c r="G48" s="4">
        <v>770</v>
      </c>
      <c r="H48" s="4">
        <f t="shared" si="37"/>
        <v>7308</v>
      </c>
      <c r="I48" s="13">
        <f t="shared" si="38"/>
        <v>18.416410463182302</v>
      </c>
      <c r="J48" s="13">
        <f t="shared" si="39"/>
        <v>70.56095962905096</v>
      </c>
      <c r="K48" s="13">
        <f t="shared" si="40"/>
        <v>89.46360153256705</v>
      </c>
      <c r="L48" s="13">
        <f t="shared" si="20"/>
        <v>18.9026419035161</v>
      </c>
      <c r="M48" s="5">
        <f>7480+497</f>
        <v>7977</v>
      </c>
      <c r="N48" s="5">
        <f>1619+24+856+9</f>
        <v>2508</v>
      </c>
      <c r="O48" s="5">
        <f t="shared" si="21"/>
        <v>10485</v>
      </c>
      <c r="P48" s="5">
        <f>2607+8</f>
        <v>2615</v>
      </c>
      <c r="Q48" s="5">
        <f>1069+480+75+3</f>
        <v>1627</v>
      </c>
      <c r="R48" s="5">
        <f t="shared" si="22"/>
        <v>4242</v>
      </c>
      <c r="S48" s="14">
        <f t="shared" si="23"/>
        <v>40.45779685264664</v>
      </c>
      <c r="T48" s="6">
        <v>1649</v>
      </c>
      <c r="U48" s="6">
        <f>962+338</f>
        <v>1300</v>
      </c>
      <c r="V48" s="6">
        <f t="shared" si="24"/>
        <v>2949</v>
      </c>
      <c r="W48" s="6">
        <v>1241</v>
      </c>
      <c r="X48" s="6">
        <f>685+233</f>
        <v>918</v>
      </c>
      <c r="Y48" s="6">
        <f t="shared" si="25"/>
        <v>2159</v>
      </c>
      <c r="Z48" s="15">
        <f t="shared" si="34"/>
        <v>75.25773195876289</v>
      </c>
      <c r="AA48" s="15">
        <f t="shared" si="59"/>
        <v>70.61538461538461</v>
      </c>
      <c r="AB48" s="7">
        <v>193</v>
      </c>
      <c r="AC48" s="7">
        <v>397</v>
      </c>
      <c r="AD48" s="7">
        <f t="shared" si="26"/>
        <v>590</v>
      </c>
      <c r="AE48" s="7">
        <v>50</v>
      </c>
      <c r="AF48" s="7">
        <f>160+37</f>
        <v>197</v>
      </c>
      <c r="AG48" s="7">
        <f t="shared" si="27"/>
        <v>247</v>
      </c>
      <c r="AH48" s="16">
        <f t="shared" si="41"/>
        <v>25.906735751295333</v>
      </c>
      <c r="AI48" s="16">
        <f t="shared" si="42"/>
        <v>49.622166246851386</v>
      </c>
      <c r="AJ48" s="8">
        <f t="shared" si="43"/>
        <v>9819</v>
      </c>
      <c r="AK48" s="8">
        <f t="shared" si="44"/>
        <v>4205</v>
      </c>
      <c r="AL48" s="8">
        <f t="shared" si="45"/>
        <v>14024</v>
      </c>
      <c r="AM48" s="8">
        <f t="shared" si="46"/>
        <v>3906</v>
      </c>
      <c r="AN48" s="8">
        <f t="shared" si="47"/>
        <v>2742</v>
      </c>
      <c r="AO48" s="8">
        <f t="shared" si="48"/>
        <v>6648</v>
      </c>
      <c r="AP48" s="17">
        <f t="shared" si="49"/>
        <v>39.780018331805685</v>
      </c>
      <c r="AQ48" s="17">
        <f t="shared" si="50"/>
        <v>65.20808561236623</v>
      </c>
      <c r="AR48" s="17">
        <f t="shared" si="51"/>
        <v>47.404449515116944</v>
      </c>
      <c r="AS48" s="18">
        <v>104977</v>
      </c>
      <c r="AT48" s="18">
        <f>16412+6906</f>
        <v>23318</v>
      </c>
      <c r="AU48" s="18">
        <f t="shared" si="52"/>
        <v>128295</v>
      </c>
      <c r="AV48" s="19">
        <f t="shared" si="53"/>
        <v>9.353477428389075</v>
      </c>
      <c r="AW48" s="19">
        <f t="shared" si="54"/>
        <v>18.033279011922122</v>
      </c>
      <c r="AX48" s="19">
        <f t="shared" si="55"/>
        <v>3.720815035674481</v>
      </c>
      <c r="AY48" s="19">
        <f t="shared" si="56"/>
        <v>11.759156016811048</v>
      </c>
      <c r="AZ48" s="19">
        <f t="shared" si="57"/>
        <v>10.931057328812502</v>
      </c>
      <c r="BA48" s="19">
        <f t="shared" si="58"/>
        <v>5.181807552905413</v>
      </c>
      <c r="BB48" s="11">
        <f t="shared" si="33"/>
        <v>47.404449515116944</v>
      </c>
    </row>
    <row r="49" spans="1:54" ht="12.75">
      <c r="A49" s="1" t="s">
        <v>112</v>
      </c>
      <c r="B49" s="12" t="s">
        <v>48</v>
      </c>
      <c r="C49" s="4">
        <f>35093+282</f>
        <v>35375</v>
      </c>
      <c r="D49" s="4">
        <v>12282</v>
      </c>
      <c r="E49" s="4">
        <f t="shared" si="36"/>
        <v>47657</v>
      </c>
      <c r="F49" s="4">
        <f>12372+96</f>
        <v>12468</v>
      </c>
      <c r="G49" s="4">
        <f>2366+22</f>
        <v>2388</v>
      </c>
      <c r="H49" s="4">
        <f t="shared" si="37"/>
        <v>14856</v>
      </c>
      <c r="I49" s="13">
        <f t="shared" si="38"/>
        <v>31.172755314014733</v>
      </c>
      <c r="J49" s="13">
        <f t="shared" si="39"/>
        <v>74.22834001300963</v>
      </c>
      <c r="K49" s="13">
        <f t="shared" si="40"/>
        <v>83.92568659127625</v>
      </c>
      <c r="L49" s="13">
        <f t="shared" si="20"/>
        <v>9.697346578266618</v>
      </c>
      <c r="M49" s="5">
        <f>11434+529</f>
        <v>11963</v>
      </c>
      <c r="N49" s="5">
        <f>562+13</f>
        <v>575</v>
      </c>
      <c r="O49" s="5">
        <f t="shared" si="21"/>
        <v>12538</v>
      </c>
      <c r="P49" s="5">
        <f>3837+141+13</f>
        <v>3991</v>
      </c>
      <c r="Q49" s="5">
        <v>337</v>
      </c>
      <c r="R49" s="5">
        <f t="shared" si="22"/>
        <v>4328</v>
      </c>
      <c r="S49" s="14">
        <f t="shared" si="23"/>
        <v>34.51906205136385</v>
      </c>
      <c r="T49" s="6">
        <v>2797</v>
      </c>
      <c r="U49" s="6">
        <v>325</v>
      </c>
      <c r="V49" s="6">
        <f t="shared" si="24"/>
        <v>3122</v>
      </c>
      <c r="W49" s="6">
        <v>1829</v>
      </c>
      <c r="X49" s="6">
        <v>199</v>
      </c>
      <c r="Y49" s="6">
        <f t="shared" si="25"/>
        <v>2028</v>
      </c>
      <c r="Z49" s="15">
        <f t="shared" si="34"/>
        <v>65.39149088308902</v>
      </c>
      <c r="AA49" s="15">
        <f t="shared" si="59"/>
        <v>61.23076923076923</v>
      </c>
      <c r="AB49" s="7">
        <v>349</v>
      </c>
      <c r="AC49" s="7">
        <v>83</v>
      </c>
      <c r="AD49" s="7">
        <f t="shared" si="26"/>
        <v>432</v>
      </c>
      <c r="AE49" s="7">
        <v>129</v>
      </c>
      <c r="AF49" s="7">
        <v>34</v>
      </c>
      <c r="AG49" s="7">
        <f t="shared" si="27"/>
        <v>163</v>
      </c>
      <c r="AH49" s="16">
        <f t="shared" si="41"/>
        <v>36.96275071633238</v>
      </c>
      <c r="AI49" s="16">
        <f t="shared" si="42"/>
        <v>40.963855421686745</v>
      </c>
      <c r="AJ49" s="8">
        <f t="shared" si="43"/>
        <v>15109</v>
      </c>
      <c r="AK49" s="8">
        <f t="shared" si="44"/>
        <v>983</v>
      </c>
      <c r="AL49" s="8">
        <f t="shared" si="45"/>
        <v>16092</v>
      </c>
      <c r="AM49" s="8">
        <f t="shared" si="46"/>
        <v>5949</v>
      </c>
      <c r="AN49" s="8">
        <f t="shared" si="47"/>
        <v>570</v>
      </c>
      <c r="AO49" s="8">
        <f t="shared" si="48"/>
        <v>6519</v>
      </c>
      <c r="AP49" s="17">
        <f t="shared" si="49"/>
        <v>39.37388311602356</v>
      </c>
      <c r="AQ49" s="17">
        <f t="shared" si="50"/>
        <v>57.98575788402849</v>
      </c>
      <c r="AR49" s="17">
        <f t="shared" si="51"/>
        <v>40.510812826249065</v>
      </c>
      <c r="AS49" s="18">
        <v>148892</v>
      </c>
      <c r="AT49" s="18">
        <v>5038</v>
      </c>
      <c r="AU49" s="18">
        <f t="shared" si="52"/>
        <v>153930</v>
      </c>
      <c r="AV49" s="19">
        <f t="shared" si="53"/>
        <v>10.147623780995621</v>
      </c>
      <c r="AW49" s="19">
        <f t="shared" si="54"/>
        <v>19.511710996427155</v>
      </c>
      <c r="AX49" s="19">
        <f t="shared" si="55"/>
        <v>3.9955135265830264</v>
      </c>
      <c r="AY49" s="19">
        <f t="shared" si="56"/>
        <v>11.314013497419612</v>
      </c>
      <c r="AZ49" s="19">
        <f t="shared" si="57"/>
        <v>10.454102514129799</v>
      </c>
      <c r="BA49" s="19">
        <f t="shared" si="58"/>
        <v>4.235041902163321</v>
      </c>
      <c r="BB49" s="11">
        <f t="shared" si="33"/>
        <v>40.510812826249065</v>
      </c>
    </row>
    <row r="50" spans="1:54" ht="12.75">
      <c r="A50" s="1" t="s">
        <v>113</v>
      </c>
      <c r="B50" s="12" t="s">
        <v>49</v>
      </c>
      <c r="C50" s="4">
        <v>7033</v>
      </c>
      <c r="D50" s="4">
        <v>13459</v>
      </c>
      <c r="E50" s="4">
        <f t="shared" si="36"/>
        <v>20492</v>
      </c>
      <c r="F50" s="4">
        <v>334</v>
      </c>
      <c r="G50" s="4">
        <v>122</v>
      </c>
      <c r="H50" s="4">
        <f t="shared" si="37"/>
        <v>456</v>
      </c>
      <c r="I50" s="13">
        <f t="shared" si="38"/>
        <v>2.2252586375170798</v>
      </c>
      <c r="J50" s="13">
        <f t="shared" si="39"/>
        <v>34.320710521178995</v>
      </c>
      <c r="K50" s="13">
        <f t="shared" si="40"/>
        <v>73.24561403508771</v>
      </c>
      <c r="L50" s="13">
        <f t="shared" si="20"/>
        <v>38.92490351390872</v>
      </c>
      <c r="M50" s="5">
        <f>2466+243</f>
        <v>2709</v>
      </c>
      <c r="O50" s="5">
        <f t="shared" si="21"/>
        <v>2709</v>
      </c>
      <c r="P50" s="5">
        <v>913</v>
      </c>
      <c r="R50" s="5">
        <f t="shared" si="22"/>
        <v>913</v>
      </c>
      <c r="S50" s="14">
        <f t="shared" si="23"/>
        <v>33.702473237356955</v>
      </c>
      <c r="T50" s="6">
        <v>589</v>
      </c>
      <c r="U50" s="6"/>
      <c r="V50" s="6">
        <f t="shared" si="24"/>
        <v>589</v>
      </c>
      <c r="W50" s="6">
        <v>417</v>
      </c>
      <c r="X50" s="6"/>
      <c r="Y50" s="6">
        <f t="shared" si="25"/>
        <v>417</v>
      </c>
      <c r="Z50" s="15">
        <f t="shared" si="34"/>
        <v>70.79796264855688</v>
      </c>
      <c r="AA50" s="15" t="e">
        <f t="shared" si="59"/>
        <v>#DIV/0!</v>
      </c>
      <c r="AB50" s="7">
        <v>206</v>
      </c>
      <c r="AC50" s="7"/>
      <c r="AD50" s="7">
        <f t="shared" si="26"/>
        <v>206</v>
      </c>
      <c r="AE50" s="7">
        <v>74</v>
      </c>
      <c r="AF50" s="7"/>
      <c r="AG50" s="7">
        <f t="shared" si="27"/>
        <v>74</v>
      </c>
      <c r="AH50" s="16">
        <f t="shared" si="41"/>
        <v>35.92233009708738</v>
      </c>
      <c r="AI50" s="16" t="e">
        <f t="shared" si="42"/>
        <v>#DIV/0!</v>
      </c>
      <c r="AJ50" s="8">
        <f t="shared" si="43"/>
        <v>3504</v>
      </c>
      <c r="AK50" s="8">
        <f t="shared" si="44"/>
        <v>0</v>
      </c>
      <c r="AL50" s="8">
        <f t="shared" si="45"/>
        <v>3504</v>
      </c>
      <c r="AM50" s="8">
        <f t="shared" si="46"/>
        <v>1404</v>
      </c>
      <c r="AN50" s="8">
        <f t="shared" si="47"/>
        <v>0</v>
      </c>
      <c r="AO50" s="8">
        <f t="shared" si="48"/>
        <v>1404</v>
      </c>
      <c r="AP50" s="17">
        <f t="shared" si="49"/>
        <v>40.06849315068493</v>
      </c>
      <c r="AQ50" s="17" t="e">
        <f t="shared" si="50"/>
        <v>#DIV/0!</v>
      </c>
      <c r="AR50" s="17">
        <f t="shared" si="51"/>
        <v>40.06849315068493</v>
      </c>
      <c r="AS50" s="18">
        <v>52149</v>
      </c>
      <c r="AT50" s="18"/>
      <c r="AU50" s="18">
        <f t="shared" si="52"/>
        <v>52149</v>
      </c>
      <c r="AV50" s="19">
        <f t="shared" si="53"/>
        <v>6.719208422021515</v>
      </c>
      <c r="AW50" s="19" t="e">
        <f t="shared" si="54"/>
        <v>#DIV/0!</v>
      </c>
      <c r="AX50" s="19">
        <f t="shared" si="55"/>
        <v>2.692285566357936</v>
      </c>
      <c r="AY50" s="19" t="e">
        <f t="shared" si="56"/>
        <v>#DIV/0!</v>
      </c>
      <c r="AZ50" s="19">
        <f t="shared" si="57"/>
        <v>6.719208422021515</v>
      </c>
      <c r="BA50" s="19">
        <f t="shared" si="58"/>
        <v>2.692285566357936</v>
      </c>
      <c r="BB50" s="11">
        <f t="shared" si="33"/>
        <v>40.06849315068494</v>
      </c>
    </row>
    <row r="51" spans="1:54" ht="12.75">
      <c r="A51" s="1" t="s">
        <v>114</v>
      </c>
      <c r="B51" s="12" t="s">
        <v>50</v>
      </c>
      <c r="C51" s="4">
        <v>8288</v>
      </c>
      <c r="D51" s="4">
        <v>7048</v>
      </c>
      <c r="E51" s="4">
        <f t="shared" si="36"/>
        <v>15336</v>
      </c>
      <c r="F51" s="4">
        <v>248</v>
      </c>
      <c r="G51" s="4">
        <v>14</v>
      </c>
      <c r="H51" s="4">
        <f t="shared" si="37"/>
        <v>262</v>
      </c>
      <c r="I51" s="13">
        <f t="shared" si="38"/>
        <v>1.708398539384455</v>
      </c>
      <c r="J51" s="13">
        <f t="shared" si="39"/>
        <v>54.04277516953573</v>
      </c>
      <c r="K51" s="13">
        <f t="shared" si="40"/>
        <v>94.65648854961832</v>
      </c>
      <c r="L51" s="13">
        <f t="shared" si="20"/>
        <v>40.61371338008259</v>
      </c>
      <c r="M51" s="5">
        <f>1573+184</f>
        <v>1757</v>
      </c>
      <c r="O51" s="5">
        <f t="shared" si="21"/>
        <v>1757</v>
      </c>
      <c r="P51" s="5">
        <v>594</v>
      </c>
      <c r="R51" s="5">
        <f t="shared" si="22"/>
        <v>594</v>
      </c>
      <c r="S51" s="14">
        <f t="shared" si="23"/>
        <v>33.807626636311895</v>
      </c>
      <c r="T51" s="6">
        <v>496</v>
      </c>
      <c r="U51" s="6"/>
      <c r="V51" s="6">
        <f t="shared" si="24"/>
        <v>496</v>
      </c>
      <c r="W51" s="6">
        <v>314</v>
      </c>
      <c r="X51" s="6"/>
      <c r="Y51" s="6">
        <f t="shared" si="25"/>
        <v>314</v>
      </c>
      <c r="Z51" s="15">
        <f t="shared" si="34"/>
        <v>63.306451612903224</v>
      </c>
      <c r="AA51" s="15" t="e">
        <f t="shared" si="59"/>
        <v>#DIV/0!</v>
      </c>
      <c r="AB51" s="7">
        <v>116</v>
      </c>
      <c r="AC51" s="7"/>
      <c r="AD51" s="7">
        <f t="shared" si="26"/>
        <v>116</v>
      </c>
      <c r="AE51" s="7">
        <v>29</v>
      </c>
      <c r="AF51" s="7"/>
      <c r="AG51" s="7">
        <f t="shared" si="27"/>
        <v>29</v>
      </c>
      <c r="AH51" s="16">
        <f t="shared" si="41"/>
        <v>25</v>
      </c>
      <c r="AI51" s="16" t="e">
        <f t="shared" si="42"/>
        <v>#DIV/0!</v>
      </c>
      <c r="AJ51" s="8">
        <f t="shared" si="43"/>
        <v>2369</v>
      </c>
      <c r="AK51" s="8">
        <f t="shared" si="44"/>
        <v>0</v>
      </c>
      <c r="AL51" s="8">
        <f t="shared" si="45"/>
        <v>2369</v>
      </c>
      <c r="AM51" s="8">
        <f t="shared" si="46"/>
        <v>937</v>
      </c>
      <c r="AN51" s="8">
        <f t="shared" si="47"/>
        <v>0</v>
      </c>
      <c r="AO51" s="8">
        <f t="shared" si="48"/>
        <v>937</v>
      </c>
      <c r="AP51" s="17">
        <f t="shared" si="49"/>
        <v>39.55255382017729</v>
      </c>
      <c r="AQ51" s="17" t="e">
        <f t="shared" si="50"/>
        <v>#DIV/0!</v>
      </c>
      <c r="AR51" s="17">
        <f t="shared" si="51"/>
        <v>39.55255382017729</v>
      </c>
      <c r="AS51" s="18">
        <v>32296</v>
      </c>
      <c r="AT51" s="18"/>
      <c r="AU51" s="18">
        <f t="shared" si="52"/>
        <v>32296</v>
      </c>
      <c r="AV51" s="19">
        <f t="shared" si="53"/>
        <v>7.335273718107506</v>
      </c>
      <c r="AW51" s="19" t="e">
        <f t="shared" si="54"/>
        <v>#DIV/0!</v>
      </c>
      <c r="AX51" s="19">
        <f t="shared" si="55"/>
        <v>2.901288085211791</v>
      </c>
      <c r="AY51" s="19" t="e">
        <f t="shared" si="56"/>
        <v>#DIV/0!</v>
      </c>
      <c r="AZ51" s="19">
        <f t="shared" si="57"/>
        <v>7.335273718107506</v>
      </c>
      <c r="BA51" s="19">
        <f t="shared" si="58"/>
        <v>2.901288085211791</v>
      </c>
      <c r="BB51" s="11">
        <f t="shared" si="33"/>
        <v>39.55255382017729</v>
      </c>
    </row>
    <row r="52" spans="1:54" ht="12.75">
      <c r="A52" s="1" t="s">
        <v>115</v>
      </c>
      <c r="B52" s="12" t="s">
        <v>51</v>
      </c>
      <c r="C52" s="4">
        <v>5265</v>
      </c>
      <c r="D52" s="4">
        <v>431</v>
      </c>
      <c r="E52" s="4">
        <f t="shared" si="36"/>
        <v>5696</v>
      </c>
      <c r="F52" s="4">
        <v>301</v>
      </c>
      <c r="G52" s="4">
        <v>6</v>
      </c>
      <c r="H52" s="4">
        <f t="shared" si="37"/>
        <v>307</v>
      </c>
      <c r="I52" s="13">
        <f t="shared" si="38"/>
        <v>5.389747191011236</v>
      </c>
      <c r="J52" s="13">
        <f t="shared" si="39"/>
        <v>92.43328651685393</v>
      </c>
      <c r="K52" s="13">
        <f t="shared" si="40"/>
        <v>98.0456026058632</v>
      </c>
      <c r="L52" s="13">
        <f t="shared" si="20"/>
        <v>5.612316089009269</v>
      </c>
      <c r="M52" s="5">
        <f>2320+122</f>
        <v>2442</v>
      </c>
      <c r="O52" s="5">
        <f t="shared" si="21"/>
        <v>2442</v>
      </c>
      <c r="P52" s="5">
        <v>1187</v>
      </c>
      <c r="R52" s="5">
        <f t="shared" si="22"/>
        <v>1187</v>
      </c>
      <c r="S52" s="14">
        <f t="shared" si="23"/>
        <v>48.60769860769861</v>
      </c>
      <c r="T52" s="6">
        <v>589</v>
      </c>
      <c r="U52" s="6"/>
      <c r="V52" s="6">
        <f t="shared" si="24"/>
        <v>589</v>
      </c>
      <c r="W52" s="6">
        <v>498</v>
      </c>
      <c r="X52" s="6"/>
      <c r="Y52" s="6">
        <f t="shared" si="25"/>
        <v>498</v>
      </c>
      <c r="Z52" s="15">
        <f t="shared" si="34"/>
        <v>84.55008488964346</v>
      </c>
      <c r="AA52" s="15" t="e">
        <f t="shared" si="59"/>
        <v>#DIV/0!</v>
      </c>
      <c r="AB52" s="7">
        <v>246</v>
      </c>
      <c r="AC52" s="7"/>
      <c r="AD52" s="7">
        <f t="shared" si="26"/>
        <v>246</v>
      </c>
      <c r="AE52" s="7">
        <v>94</v>
      </c>
      <c r="AF52" s="7"/>
      <c r="AG52" s="7">
        <f t="shared" si="27"/>
        <v>94</v>
      </c>
      <c r="AH52" s="16">
        <f t="shared" si="41"/>
        <v>38.21138211382114</v>
      </c>
      <c r="AI52" s="16" t="e">
        <f t="shared" si="42"/>
        <v>#DIV/0!</v>
      </c>
      <c r="AJ52" s="8">
        <f t="shared" si="43"/>
        <v>3277</v>
      </c>
      <c r="AK52" s="8">
        <f t="shared" si="44"/>
        <v>0</v>
      </c>
      <c r="AL52" s="8">
        <f t="shared" si="45"/>
        <v>3277</v>
      </c>
      <c r="AM52" s="8">
        <f t="shared" si="46"/>
        <v>1779</v>
      </c>
      <c r="AN52" s="8">
        <f t="shared" si="47"/>
        <v>0</v>
      </c>
      <c r="AO52" s="8">
        <f t="shared" si="48"/>
        <v>1779</v>
      </c>
      <c r="AP52" s="17">
        <f t="shared" si="49"/>
        <v>54.28745804089105</v>
      </c>
      <c r="AQ52" s="17" t="e">
        <f t="shared" si="50"/>
        <v>#DIV/0!</v>
      </c>
      <c r="AR52" s="17">
        <f t="shared" si="51"/>
        <v>54.28745804089105</v>
      </c>
      <c r="AS52" s="18">
        <v>22160</v>
      </c>
      <c r="AT52" s="18"/>
      <c r="AU52" s="18">
        <f t="shared" si="52"/>
        <v>22160</v>
      </c>
      <c r="AV52" s="19">
        <f t="shared" si="53"/>
        <v>14.787906137184114</v>
      </c>
      <c r="AW52" s="19" t="e">
        <f t="shared" si="54"/>
        <v>#DIV/0!</v>
      </c>
      <c r="AX52" s="19">
        <f t="shared" si="55"/>
        <v>8.027978339350181</v>
      </c>
      <c r="AY52" s="19" t="e">
        <f t="shared" si="56"/>
        <v>#DIV/0!</v>
      </c>
      <c r="AZ52" s="19">
        <f t="shared" si="57"/>
        <v>14.787906137184114</v>
      </c>
      <c r="BA52" s="19">
        <f t="shared" si="58"/>
        <v>8.027978339350181</v>
      </c>
      <c r="BB52" s="11">
        <f t="shared" si="33"/>
        <v>54.28745804089107</v>
      </c>
    </row>
    <row r="53" spans="1:54" ht="12.75">
      <c r="A53" s="1" t="s">
        <v>116</v>
      </c>
      <c r="B53" s="12" t="s">
        <v>52</v>
      </c>
      <c r="C53" s="4">
        <v>9834</v>
      </c>
      <c r="D53" s="4">
        <v>7302</v>
      </c>
      <c r="E53" s="4">
        <f t="shared" si="36"/>
        <v>17136</v>
      </c>
      <c r="F53" s="4">
        <v>45</v>
      </c>
      <c r="G53" s="4">
        <v>3</v>
      </c>
      <c r="H53" s="4">
        <f t="shared" si="37"/>
        <v>48</v>
      </c>
      <c r="I53" s="13">
        <f t="shared" si="38"/>
        <v>0.2801120448179272</v>
      </c>
      <c r="J53" s="13">
        <f t="shared" si="39"/>
        <v>57.38795518207282</v>
      </c>
      <c r="K53" s="13">
        <f t="shared" si="40"/>
        <v>93.75</v>
      </c>
      <c r="L53" s="13">
        <f t="shared" si="20"/>
        <v>36.36204481792718</v>
      </c>
      <c r="M53" s="5">
        <f>2194+208</f>
        <v>2402</v>
      </c>
      <c r="O53" s="5">
        <f t="shared" si="21"/>
        <v>2402</v>
      </c>
      <c r="P53" s="5">
        <v>444</v>
      </c>
      <c r="R53" s="5">
        <f t="shared" si="22"/>
        <v>444</v>
      </c>
      <c r="S53" s="14">
        <f t="shared" si="23"/>
        <v>18.484596169858452</v>
      </c>
      <c r="T53" s="6">
        <v>461</v>
      </c>
      <c r="U53" s="6"/>
      <c r="V53" s="6">
        <f t="shared" si="24"/>
        <v>461</v>
      </c>
      <c r="W53" s="6">
        <v>317</v>
      </c>
      <c r="X53" s="6"/>
      <c r="Y53" s="6">
        <f t="shared" si="25"/>
        <v>317</v>
      </c>
      <c r="Z53" s="15">
        <f t="shared" si="34"/>
        <v>68.76355748373102</v>
      </c>
      <c r="AA53" s="15" t="e">
        <f t="shared" si="59"/>
        <v>#DIV/0!</v>
      </c>
      <c r="AB53" s="7">
        <v>156</v>
      </c>
      <c r="AC53" s="7"/>
      <c r="AD53" s="7">
        <f t="shared" si="26"/>
        <v>156</v>
      </c>
      <c r="AE53" s="7">
        <v>23</v>
      </c>
      <c r="AF53" s="7"/>
      <c r="AG53" s="7">
        <f t="shared" si="27"/>
        <v>23</v>
      </c>
      <c r="AH53" s="16">
        <f t="shared" si="41"/>
        <v>14.743589743589745</v>
      </c>
      <c r="AI53" s="16" t="e">
        <f t="shared" si="42"/>
        <v>#DIV/0!</v>
      </c>
      <c r="AJ53" s="8">
        <f t="shared" si="43"/>
        <v>3019</v>
      </c>
      <c r="AK53" s="8">
        <f t="shared" si="44"/>
        <v>0</v>
      </c>
      <c r="AL53" s="8">
        <f t="shared" si="45"/>
        <v>3019</v>
      </c>
      <c r="AM53" s="8">
        <f t="shared" si="46"/>
        <v>784</v>
      </c>
      <c r="AN53" s="8">
        <f t="shared" si="47"/>
        <v>0</v>
      </c>
      <c r="AO53" s="8">
        <f t="shared" si="48"/>
        <v>784</v>
      </c>
      <c r="AP53" s="17">
        <f t="shared" si="49"/>
        <v>25.968863862206028</v>
      </c>
      <c r="AQ53" s="17" t="e">
        <f t="shared" si="50"/>
        <v>#DIV/0!</v>
      </c>
      <c r="AR53" s="17">
        <f t="shared" si="51"/>
        <v>25.968863862206028</v>
      </c>
      <c r="AS53" s="18">
        <v>36767</v>
      </c>
      <c r="AT53" s="18"/>
      <c r="AU53" s="18">
        <f t="shared" si="52"/>
        <v>36767</v>
      </c>
      <c r="AV53" s="19">
        <f t="shared" si="53"/>
        <v>8.211167623140316</v>
      </c>
      <c r="AW53" s="19" t="e">
        <f t="shared" si="54"/>
        <v>#DIV/0!</v>
      </c>
      <c r="AX53" s="19">
        <f t="shared" si="55"/>
        <v>2.132346941550847</v>
      </c>
      <c r="AY53" s="19" t="e">
        <f t="shared" si="56"/>
        <v>#DIV/0!</v>
      </c>
      <c r="AZ53" s="19">
        <f t="shared" si="57"/>
        <v>8.211167623140316</v>
      </c>
      <c r="BA53" s="19">
        <f t="shared" si="58"/>
        <v>2.132346941550847</v>
      </c>
      <c r="BB53" s="11">
        <f t="shared" si="33"/>
        <v>25.968863862206028</v>
      </c>
    </row>
    <row r="54" spans="1:54" ht="12.75">
      <c r="A54" s="1" t="s">
        <v>117</v>
      </c>
      <c r="B54" s="12" t="s">
        <v>53</v>
      </c>
      <c r="C54" s="4">
        <v>8465</v>
      </c>
      <c r="D54" s="4">
        <v>4733</v>
      </c>
      <c r="E54" s="4">
        <f t="shared" si="36"/>
        <v>13198</v>
      </c>
      <c r="F54" s="4">
        <v>24</v>
      </c>
      <c r="G54" s="4">
        <v>5</v>
      </c>
      <c r="H54" s="4">
        <f t="shared" si="37"/>
        <v>29</v>
      </c>
      <c r="I54" s="13">
        <f t="shared" si="38"/>
        <v>0.21973026216093347</v>
      </c>
      <c r="J54" s="13">
        <f t="shared" si="39"/>
        <v>64.13850583421731</v>
      </c>
      <c r="K54" s="13">
        <f t="shared" si="40"/>
        <v>82.75862068965517</v>
      </c>
      <c r="L54" s="13">
        <f t="shared" si="20"/>
        <v>18.620114855437862</v>
      </c>
      <c r="M54" s="5">
        <f>1129+375</f>
        <v>1504</v>
      </c>
      <c r="O54" s="5">
        <f t="shared" si="21"/>
        <v>1504</v>
      </c>
      <c r="P54" s="5">
        <f>402+4</f>
        <v>406</v>
      </c>
      <c r="R54" s="5">
        <f t="shared" si="22"/>
        <v>406</v>
      </c>
      <c r="S54" s="14">
        <f t="shared" si="23"/>
        <v>26.99468085106383</v>
      </c>
      <c r="T54" s="6">
        <v>213</v>
      </c>
      <c r="U54" s="6"/>
      <c r="V54" s="6">
        <f t="shared" si="24"/>
        <v>213</v>
      </c>
      <c r="W54" s="6">
        <v>153</v>
      </c>
      <c r="X54" s="6"/>
      <c r="Y54" s="6">
        <f t="shared" si="25"/>
        <v>153</v>
      </c>
      <c r="Z54" s="15">
        <f t="shared" si="34"/>
        <v>71.83098591549296</v>
      </c>
      <c r="AA54" s="15" t="e">
        <f t="shared" si="59"/>
        <v>#DIV/0!</v>
      </c>
      <c r="AB54" s="7">
        <v>32</v>
      </c>
      <c r="AC54" s="7"/>
      <c r="AD54" s="7">
        <f t="shared" si="26"/>
        <v>32</v>
      </c>
      <c r="AE54" s="7">
        <v>15</v>
      </c>
      <c r="AF54" s="7"/>
      <c r="AG54" s="7">
        <f t="shared" si="27"/>
        <v>15</v>
      </c>
      <c r="AH54" s="16">
        <f t="shared" si="41"/>
        <v>46.875</v>
      </c>
      <c r="AI54" s="16" t="e">
        <f t="shared" si="42"/>
        <v>#DIV/0!</v>
      </c>
      <c r="AJ54" s="8">
        <f t="shared" si="43"/>
        <v>1749</v>
      </c>
      <c r="AK54" s="8">
        <f t="shared" si="44"/>
        <v>0</v>
      </c>
      <c r="AL54" s="8">
        <f t="shared" si="45"/>
        <v>1749</v>
      </c>
      <c r="AM54" s="8">
        <f t="shared" si="46"/>
        <v>574</v>
      </c>
      <c r="AN54" s="8">
        <f t="shared" si="47"/>
        <v>0</v>
      </c>
      <c r="AO54" s="8">
        <f t="shared" si="48"/>
        <v>574</v>
      </c>
      <c r="AP54" s="17">
        <f t="shared" si="49"/>
        <v>32.81875357347055</v>
      </c>
      <c r="AQ54" s="17" t="e">
        <f t="shared" si="50"/>
        <v>#DIV/0!</v>
      </c>
      <c r="AR54" s="17">
        <f t="shared" si="51"/>
        <v>32.81875357347055</v>
      </c>
      <c r="AS54" s="18">
        <v>22545</v>
      </c>
      <c r="AT54" s="18"/>
      <c r="AU54" s="18">
        <f t="shared" si="52"/>
        <v>22545</v>
      </c>
      <c r="AV54" s="19">
        <f t="shared" si="53"/>
        <v>7.757817697937458</v>
      </c>
      <c r="AW54" s="19" t="e">
        <f t="shared" si="54"/>
        <v>#DIV/0!</v>
      </c>
      <c r="AX54" s="19">
        <f t="shared" si="55"/>
        <v>2.546019072965181</v>
      </c>
      <c r="AY54" s="19" t="e">
        <f t="shared" si="56"/>
        <v>#DIV/0!</v>
      </c>
      <c r="AZ54" s="19">
        <f t="shared" si="57"/>
        <v>7.757817697937458</v>
      </c>
      <c r="BA54" s="19">
        <f t="shared" si="58"/>
        <v>2.546019072965181</v>
      </c>
      <c r="BB54" s="11">
        <f t="shared" si="33"/>
        <v>32.81875357347055</v>
      </c>
    </row>
    <row r="55" spans="1:54" ht="12.75">
      <c r="A55" s="1" t="s">
        <v>118</v>
      </c>
      <c r="B55" s="12" t="s">
        <v>54</v>
      </c>
      <c r="C55" s="4">
        <v>8688</v>
      </c>
      <c r="D55" s="4">
        <v>3155</v>
      </c>
      <c r="E55" s="4">
        <f t="shared" si="36"/>
        <v>11843</v>
      </c>
      <c r="F55" s="4">
        <v>443</v>
      </c>
      <c r="G55" s="4">
        <v>17</v>
      </c>
      <c r="H55" s="4">
        <f t="shared" si="37"/>
        <v>460</v>
      </c>
      <c r="I55" s="13">
        <f t="shared" si="38"/>
        <v>3.884150975259647</v>
      </c>
      <c r="J55" s="13">
        <f t="shared" si="39"/>
        <v>73.3597905935996</v>
      </c>
      <c r="K55" s="13">
        <f t="shared" si="40"/>
        <v>96.30434782608695</v>
      </c>
      <c r="L55" s="13">
        <f t="shared" si="20"/>
        <v>22.944557232487355</v>
      </c>
      <c r="M55" s="5">
        <f>3215+228</f>
        <v>3443</v>
      </c>
      <c r="O55" s="5">
        <f t="shared" si="21"/>
        <v>3443</v>
      </c>
      <c r="P55" s="5">
        <f>941+2</f>
        <v>943</v>
      </c>
      <c r="R55" s="5">
        <f t="shared" si="22"/>
        <v>943</v>
      </c>
      <c r="S55" s="14">
        <f t="shared" si="23"/>
        <v>27.38890502468777</v>
      </c>
      <c r="T55" s="6">
        <v>442</v>
      </c>
      <c r="U55" s="6"/>
      <c r="V55" s="6">
        <f t="shared" si="24"/>
        <v>442</v>
      </c>
      <c r="W55" s="6">
        <v>331</v>
      </c>
      <c r="X55" s="6"/>
      <c r="Y55" s="6">
        <f t="shared" si="25"/>
        <v>331</v>
      </c>
      <c r="Z55" s="15">
        <f t="shared" si="34"/>
        <v>74.8868778280543</v>
      </c>
      <c r="AA55" s="15" t="e">
        <f t="shared" si="59"/>
        <v>#DIV/0!</v>
      </c>
      <c r="AB55" s="7">
        <v>183</v>
      </c>
      <c r="AC55" s="7"/>
      <c r="AD55" s="7">
        <f t="shared" si="26"/>
        <v>183</v>
      </c>
      <c r="AE55" s="7">
        <v>27</v>
      </c>
      <c r="AF55" s="7"/>
      <c r="AG55" s="7">
        <f t="shared" si="27"/>
        <v>27</v>
      </c>
      <c r="AH55" s="16">
        <f t="shared" si="41"/>
        <v>14.754098360655737</v>
      </c>
      <c r="AI55" s="16" t="e">
        <f t="shared" si="42"/>
        <v>#DIV/0!</v>
      </c>
      <c r="AJ55" s="8">
        <f t="shared" si="43"/>
        <v>4068</v>
      </c>
      <c r="AK55" s="8">
        <f t="shared" si="44"/>
        <v>0</v>
      </c>
      <c r="AL55" s="8">
        <f t="shared" si="45"/>
        <v>4068</v>
      </c>
      <c r="AM55" s="8">
        <f t="shared" si="46"/>
        <v>1301</v>
      </c>
      <c r="AN55" s="8">
        <f t="shared" si="47"/>
        <v>0</v>
      </c>
      <c r="AO55" s="8">
        <f t="shared" si="48"/>
        <v>1301</v>
      </c>
      <c r="AP55" s="17">
        <f t="shared" si="49"/>
        <v>31.981317600786628</v>
      </c>
      <c r="AQ55" s="17" t="e">
        <f t="shared" si="50"/>
        <v>#DIV/0!</v>
      </c>
      <c r="AR55" s="17">
        <f t="shared" si="51"/>
        <v>31.981317600786628</v>
      </c>
      <c r="AS55" s="18">
        <v>37608</v>
      </c>
      <c r="AT55" s="18"/>
      <c r="AU55" s="18">
        <f t="shared" si="52"/>
        <v>37608</v>
      </c>
      <c r="AV55" s="19">
        <f t="shared" si="53"/>
        <v>10.816847479259732</v>
      </c>
      <c r="AW55" s="19" t="e">
        <f t="shared" si="54"/>
        <v>#DIV/0!</v>
      </c>
      <c r="AX55" s="19">
        <f t="shared" si="55"/>
        <v>3.459370346734737</v>
      </c>
      <c r="AY55" s="19" t="e">
        <f t="shared" si="56"/>
        <v>#DIV/0!</v>
      </c>
      <c r="AZ55" s="19">
        <f t="shared" si="57"/>
        <v>10.816847479259732</v>
      </c>
      <c r="BA55" s="19">
        <f t="shared" si="58"/>
        <v>3.459370346734737</v>
      </c>
      <c r="BB55" s="11">
        <f t="shared" si="33"/>
        <v>31.981317600786628</v>
      </c>
    </row>
    <row r="56" spans="1:54" ht="12.75">
      <c r="A56" s="1" t="s">
        <v>119</v>
      </c>
      <c r="B56" s="12" t="s">
        <v>55</v>
      </c>
      <c r="C56" s="4">
        <v>9560</v>
      </c>
      <c r="D56" s="4">
        <v>29491</v>
      </c>
      <c r="E56" s="4">
        <f t="shared" si="36"/>
        <v>39051</v>
      </c>
      <c r="F56" s="4">
        <v>240</v>
      </c>
      <c r="G56" s="4">
        <v>132</v>
      </c>
      <c r="H56" s="4">
        <f t="shared" si="37"/>
        <v>372</v>
      </c>
      <c r="I56" s="13">
        <f t="shared" si="38"/>
        <v>0.9526004455711761</v>
      </c>
      <c r="J56" s="13">
        <f t="shared" si="39"/>
        <v>24.48080714962485</v>
      </c>
      <c r="K56" s="13">
        <f t="shared" si="40"/>
        <v>64.51612903225806</v>
      </c>
      <c r="L56" s="13">
        <f t="shared" si="20"/>
        <v>40.03532188263321</v>
      </c>
      <c r="M56" s="5">
        <f>3005+709</f>
        <v>3714</v>
      </c>
      <c r="O56" s="5">
        <f t="shared" si="21"/>
        <v>3714</v>
      </c>
      <c r="P56" s="5">
        <f>1306+6</f>
        <v>1312</v>
      </c>
      <c r="R56" s="5">
        <f t="shared" si="22"/>
        <v>1312</v>
      </c>
      <c r="S56" s="14">
        <f t="shared" si="23"/>
        <v>35.325794291868604</v>
      </c>
      <c r="T56" s="6">
        <v>814</v>
      </c>
      <c r="U56" s="6"/>
      <c r="V56" s="6">
        <f t="shared" si="24"/>
        <v>814</v>
      </c>
      <c r="W56" s="6">
        <v>654</v>
      </c>
      <c r="X56" s="6"/>
      <c r="Y56" s="6">
        <f t="shared" si="25"/>
        <v>654</v>
      </c>
      <c r="Z56" s="15">
        <f t="shared" si="34"/>
        <v>80.34398034398035</v>
      </c>
      <c r="AA56" s="15" t="e">
        <f t="shared" si="59"/>
        <v>#DIV/0!</v>
      </c>
      <c r="AB56" s="7">
        <v>188</v>
      </c>
      <c r="AC56" s="7"/>
      <c r="AD56" s="7">
        <f t="shared" si="26"/>
        <v>188</v>
      </c>
      <c r="AE56" s="7">
        <v>87</v>
      </c>
      <c r="AF56" s="7"/>
      <c r="AG56" s="7">
        <f t="shared" si="27"/>
        <v>87</v>
      </c>
      <c r="AH56" s="16">
        <f t="shared" si="41"/>
        <v>46.27659574468085</v>
      </c>
      <c r="AI56" s="16" t="e">
        <f t="shared" si="42"/>
        <v>#DIV/0!</v>
      </c>
      <c r="AJ56" s="8">
        <f t="shared" si="43"/>
        <v>4716</v>
      </c>
      <c r="AK56" s="8">
        <f t="shared" si="44"/>
        <v>0</v>
      </c>
      <c r="AL56" s="8">
        <f t="shared" si="45"/>
        <v>4716</v>
      </c>
      <c r="AM56" s="8">
        <f t="shared" si="46"/>
        <v>2053</v>
      </c>
      <c r="AN56" s="8">
        <f t="shared" si="47"/>
        <v>0</v>
      </c>
      <c r="AO56" s="8">
        <f t="shared" si="48"/>
        <v>2053</v>
      </c>
      <c r="AP56" s="17">
        <f t="shared" si="49"/>
        <v>43.53265479219678</v>
      </c>
      <c r="AQ56" s="17" t="e">
        <f t="shared" si="50"/>
        <v>#DIV/0!</v>
      </c>
      <c r="AR56" s="17">
        <f t="shared" si="51"/>
        <v>43.53265479219678</v>
      </c>
      <c r="AS56" s="18">
        <v>88744</v>
      </c>
      <c r="AT56" s="18"/>
      <c r="AU56" s="18">
        <f t="shared" si="52"/>
        <v>88744</v>
      </c>
      <c r="AV56" s="19">
        <f t="shared" si="53"/>
        <v>5.314162084197242</v>
      </c>
      <c r="AW56" s="19" t="e">
        <f t="shared" si="54"/>
        <v>#DIV/0!</v>
      </c>
      <c r="AX56" s="19">
        <f t="shared" si="55"/>
        <v>2.3133958352113946</v>
      </c>
      <c r="AY56" s="19" t="e">
        <f t="shared" si="56"/>
        <v>#DIV/0!</v>
      </c>
      <c r="AZ56" s="19">
        <f t="shared" si="57"/>
        <v>5.314162084197242</v>
      </c>
      <c r="BA56" s="19">
        <f t="shared" si="58"/>
        <v>2.3133958352113946</v>
      </c>
      <c r="BB56" s="11">
        <f t="shared" si="33"/>
        <v>43.53265479219677</v>
      </c>
    </row>
    <row r="57" spans="1:54" ht="12.75">
      <c r="A57" s="1" t="s">
        <v>120</v>
      </c>
      <c r="B57" s="12" t="s">
        <v>56</v>
      </c>
      <c r="C57" s="4">
        <v>6898</v>
      </c>
      <c r="D57" s="4">
        <v>5152</v>
      </c>
      <c r="E57" s="4">
        <f t="shared" si="36"/>
        <v>12050</v>
      </c>
      <c r="F57" s="4">
        <v>199</v>
      </c>
      <c r="G57" s="4">
        <v>25</v>
      </c>
      <c r="H57" s="4">
        <f t="shared" si="37"/>
        <v>224</v>
      </c>
      <c r="I57" s="13">
        <f t="shared" si="38"/>
        <v>1.8589211618257262</v>
      </c>
      <c r="J57" s="13">
        <f t="shared" si="39"/>
        <v>57.2448132780083</v>
      </c>
      <c r="K57" s="13">
        <f t="shared" si="40"/>
        <v>88.83928571428571</v>
      </c>
      <c r="L57" s="13">
        <f t="shared" si="20"/>
        <v>31.594472436277407</v>
      </c>
      <c r="M57" s="5">
        <f>1068+154</f>
        <v>1222</v>
      </c>
      <c r="O57" s="5">
        <f t="shared" si="21"/>
        <v>1222</v>
      </c>
      <c r="P57" s="5">
        <v>303</v>
      </c>
      <c r="R57" s="5">
        <f t="shared" si="22"/>
        <v>303</v>
      </c>
      <c r="S57" s="14">
        <f t="shared" si="23"/>
        <v>24.79541734860884</v>
      </c>
      <c r="T57" s="6">
        <v>244</v>
      </c>
      <c r="U57" s="6"/>
      <c r="V57" s="6">
        <f t="shared" si="24"/>
        <v>244</v>
      </c>
      <c r="W57" s="6">
        <v>186</v>
      </c>
      <c r="X57" s="6"/>
      <c r="Y57" s="6">
        <f t="shared" si="25"/>
        <v>186</v>
      </c>
      <c r="Z57" s="15">
        <f t="shared" si="34"/>
        <v>76.22950819672131</v>
      </c>
      <c r="AA57" s="15" t="e">
        <f t="shared" si="59"/>
        <v>#DIV/0!</v>
      </c>
      <c r="AB57" s="7">
        <v>37</v>
      </c>
      <c r="AC57" s="7"/>
      <c r="AD57" s="7">
        <f t="shared" si="26"/>
        <v>37</v>
      </c>
      <c r="AE57" s="7">
        <v>11</v>
      </c>
      <c r="AF57" s="7"/>
      <c r="AG57" s="7">
        <f t="shared" si="27"/>
        <v>11</v>
      </c>
      <c r="AH57" s="16">
        <f t="shared" si="41"/>
        <v>29.72972972972973</v>
      </c>
      <c r="AI57" s="16" t="e">
        <f t="shared" si="42"/>
        <v>#DIV/0!</v>
      </c>
      <c r="AJ57" s="8">
        <f t="shared" si="43"/>
        <v>1503</v>
      </c>
      <c r="AK57" s="8">
        <f t="shared" si="44"/>
        <v>0</v>
      </c>
      <c r="AL57" s="8">
        <f t="shared" si="45"/>
        <v>1503</v>
      </c>
      <c r="AM57" s="8">
        <f t="shared" si="46"/>
        <v>500</v>
      </c>
      <c r="AN57" s="8">
        <f t="shared" si="47"/>
        <v>0</v>
      </c>
      <c r="AO57" s="8">
        <f t="shared" si="48"/>
        <v>500</v>
      </c>
      <c r="AP57" s="17">
        <f t="shared" si="49"/>
        <v>33.266799733865604</v>
      </c>
      <c r="AQ57" s="17" t="e">
        <f t="shared" si="50"/>
        <v>#DIV/0!</v>
      </c>
      <c r="AR57" s="17">
        <f t="shared" si="51"/>
        <v>33.266799733865604</v>
      </c>
      <c r="AS57" s="18">
        <v>26914</v>
      </c>
      <c r="AT57" s="18"/>
      <c r="AU57" s="18">
        <f t="shared" si="52"/>
        <v>26914</v>
      </c>
      <c r="AV57" s="19">
        <f t="shared" si="53"/>
        <v>5.584454187411756</v>
      </c>
      <c r="AW57" s="19" t="e">
        <f t="shared" si="54"/>
        <v>#DIV/0!</v>
      </c>
      <c r="AX57" s="19">
        <f t="shared" si="55"/>
        <v>1.8577691907557405</v>
      </c>
      <c r="AY57" s="19" t="e">
        <f t="shared" si="56"/>
        <v>#DIV/0!</v>
      </c>
      <c r="AZ57" s="19">
        <f t="shared" si="57"/>
        <v>5.584454187411756</v>
      </c>
      <c r="BA57" s="19">
        <f t="shared" si="58"/>
        <v>1.8577691907557405</v>
      </c>
      <c r="BB57" s="11">
        <f t="shared" si="33"/>
        <v>33.2667997338656</v>
      </c>
    </row>
    <row r="58" spans="1:54" ht="12.75">
      <c r="A58" s="1" t="s">
        <v>121</v>
      </c>
      <c r="B58" s="12" t="s">
        <v>57</v>
      </c>
      <c r="C58" s="4">
        <v>8594</v>
      </c>
      <c r="D58" s="4">
        <v>15647</v>
      </c>
      <c r="E58" s="4">
        <f t="shared" si="36"/>
        <v>24241</v>
      </c>
      <c r="F58" s="4">
        <v>354</v>
      </c>
      <c r="G58" s="4">
        <v>60</v>
      </c>
      <c r="H58" s="4">
        <f t="shared" si="37"/>
        <v>414</v>
      </c>
      <c r="I58" s="13">
        <f t="shared" si="38"/>
        <v>1.7078503362072524</v>
      </c>
      <c r="J58" s="13">
        <f t="shared" si="39"/>
        <v>35.452332824553444</v>
      </c>
      <c r="K58" s="13">
        <f t="shared" si="40"/>
        <v>85.5072463768116</v>
      </c>
      <c r="L58" s="13">
        <f t="shared" si="20"/>
        <v>50.05491355225815</v>
      </c>
      <c r="M58" s="5">
        <f>1988+197</f>
        <v>2185</v>
      </c>
      <c r="N58" s="5">
        <v>1675</v>
      </c>
      <c r="O58" s="5">
        <f t="shared" si="21"/>
        <v>3860</v>
      </c>
      <c r="P58" s="5">
        <f>471+1</f>
        <v>472</v>
      </c>
      <c r="Q58" s="5">
        <f>1410+3</f>
        <v>1413</v>
      </c>
      <c r="R58" s="5">
        <f t="shared" si="22"/>
        <v>1885</v>
      </c>
      <c r="S58" s="14">
        <f t="shared" si="23"/>
        <v>48.83419689119171</v>
      </c>
      <c r="T58" s="6">
        <v>452</v>
      </c>
      <c r="U58" s="6">
        <v>671</v>
      </c>
      <c r="V58" s="6">
        <f t="shared" si="24"/>
        <v>1123</v>
      </c>
      <c r="W58" s="6">
        <v>312</v>
      </c>
      <c r="X58" s="6">
        <v>604</v>
      </c>
      <c r="Y58" s="6">
        <f t="shared" si="25"/>
        <v>916</v>
      </c>
      <c r="Z58" s="15">
        <f t="shared" si="34"/>
        <v>69.02654867256636</v>
      </c>
      <c r="AA58" s="15">
        <f t="shared" si="59"/>
        <v>90.01490312965723</v>
      </c>
      <c r="AB58" s="7">
        <v>171</v>
      </c>
      <c r="AC58" s="7">
        <v>196</v>
      </c>
      <c r="AD58" s="7">
        <f t="shared" si="26"/>
        <v>367</v>
      </c>
      <c r="AE58" s="7">
        <v>19</v>
      </c>
      <c r="AF58" s="7">
        <v>136</v>
      </c>
      <c r="AG58" s="7">
        <f t="shared" si="27"/>
        <v>155</v>
      </c>
      <c r="AH58" s="16">
        <f t="shared" si="41"/>
        <v>11.11111111111111</v>
      </c>
      <c r="AI58" s="16">
        <f t="shared" si="42"/>
        <v>69.38775510204081</v>
      </c>
      <c r="AJ58" s="8">
        <f t="shared" si="43"/>
        <v>2808</v>
      </c>
      <c r="AK58" s="8">
        <f t="shared" si="44"/>
        <v>2542</v>
      </c>
      <c r="AL58" s="8">
        <f t="shared" si="45"/>
        <v>5350</v>
      </c>
      <c r="AM58" s="8">
        <f t="shared" si="46"/>
        <v>803</v>
      </c>
      <c r="AN58" s="8">
        <f t="shared" si="47"/>
        <v>2153</v>
      </c>
      <c r="AO58" s="8">
        <f t="shared" si="48"/>
        <v>2956</v>
      </c>
      <c r="AP58" s="17">
        <f t="shared" si="49"/>
        <v>28.596866096866098</v>
      </c>
      <c r="AQ58" s="17">
        <f t="shared" si="50"/>
        <v>84.69708890637293</v>
      </c>
      <c r="AR58" s="17">
        <f t="shared" si="51"/>
        <v>55.25233644859813</v>
      </c>
      <c r="AS58" s="18">
        <v>56342</v>
      </c>
      <c r="AT58" s="18">
        <v>13214</v>
      </c>
      <c r="AU58" s="18">
        <f t="shared" si="52"/>
        <v>69556</v>
      </c>
      <c r="AV58" s="19">
        <f t="shared" si="53"/>
        <v>4.983848638670974</v>
      </c>
      <c r="AW58" s="19">
        <f t="shared" si="54"/>
        <v>19.23717269562585</v>
      </c>
      <c r="AX58" s="19">
        <f t="shared" si="55"/>
        <v>1.425224521671222</v>
      </c>
      <c r="AY58" s="19">
        <f t="shared" si="56"/>
        <v>16.29332526108673</v>
      </c>
      <c r="AZ58" s="19">
        <f t="shared" si="57"/>
        <v>7.6916441428489275</v>
      </c>
      <c r="BA58" s="19">
        <f t="shared" si="58"/>
        <v>4.249813100235781</v>
      </c>
      <c r="BB58" s="11">
        <f t="shared" si="33"/>
        <v>55.25233644859813</v>
      </c>
    </row>
    <row r="59" spans="1:54" ht="12.75">
      <c r="A59" s="1" t="s">
        <v>122</v>
      </c>
      <c r="B59" s="12" t="s">
        <v>58</v>
      </c>
      <c r="C59" s="4">
        <v>10946</v>
      </c>
      <c r="D59" s="4">
        <v>7719</v>
      </c>
      <c r="E59" s="4">
        <f t="shared" si="36"/>
        <v>18665</v>
      </c>
      <c r="F59" s="4">
        <v>327</v>
      </c>
      <c r="G59" s="4">
        <v>38</v>
      </c>
      <c r="H59" s="4">
        <f t="shared" si="37"/>
        <v>365</v>
      </c>
      <c r="I59" s="13">
        <f t="shared" si="38"/>
        <v>1.9555317439057056</v>
      </c>
      <c r="J59" s="13">
        <f t="shared" si="39"/>
        <v>58.64452183230645</v>
      </c>
      <c r="K59" s="13">
        <f t="shared" si="40"/>
        <v>89.58904109589041</v>
      </c>
      <c r="L59" s="13">
        <f t="shared" si="20"/>
        <v>30.944519263583956</v>
      </c>
      <c r="M59" s="5">
        <f>2281+405</f>
        <v>2686</v>
      </c>
      <c r="N59" s="5">
        <f>992+4</f>
        <v>996</v>
      </c>
      <c r="O59" s="5">
        <f t="shared" si="21"/>
        <v>3682</v>
      </c>
      <c r="P59" s="5">
        <f>710+2</f>
        <v>712</v>
      </c>
      <c r="Q59" s="5">
        <f>599+1</f>
        <v>600</v>
      </c>
      <c r="R59" s="5">
        <f t="shared" si="22"/>
        <v>1312</v>
      </c>
      <c r="S59" s="14">
        <f t="shared" si="23"/>
        <v>35.632808256382404</v>
      </c>
      <c r="T59" s="6">
        <v>526</v>
      </c>
      <c r="U59" s="6">
        <v>299</v>
      </c>
      <c r="V59" s="6">
        <f t="shared" si="24"/>
        <v>825</v>
      </c>
      <c r="W59" s="6">
        <v>376</v>
      </c>
      <c r="X59" s="6">
        <v>259</v>
      </c>
      <c r="Y59" s="6">
        <f t="shared" si="25"/>
        <v>635</v>
      </c>
      <c r="Z59" s="15">
        <f t="shared" si="34"/>
        <v>71.48288973384031</v>
      </c>
      <c r="AA59" s="15">
        <f t="shared" si="59"/>
        <v>86.62207357859532</v>
      </c>
      <c r="AB59" s="7">
        <v>163</v>
      </c>
      <c r="AC59" s="7">
        <v>104</v>
      </c>
      <c r="AD59" s="7">
        <f t="shared" si="26"/>
        <v>267</v>
      </c>
      <c r="AE59" s="7">
        <v>41</v>
      </c>
      <c r="AF59" s="7">
        <v>54</v>
      </c>
      <c r="AG59" s="7">
        <f t="shared" si="27"/>
        <v>95</v>
      </c>
      <c r="AH59" s="16">
        <f t="shared" si="41"/>
        <v>25.153374233128833</v>
      </c>
      <c r="AI59" s="16">
        <f t="shared" si="42"/>
        <v>51.92307692307693</v>
      </c>
      <c r="AJ59" s="8">
        <f t="shared" si="43"/>
        <v>3375</v>
      </c>
      <c r="AK59" s="8">
        <f t="shared" si="44"/>
        <v>1399</v>
      </c>
      <c r="AL59" s="8">
        <f t="shared" si="45"/>
        <v>4774</v>
      </c>
      <c r="AM59" s="8">
        <f t="shared" si="46"/>
        <v>1129</v>
      </c>
      <c r="AN59" s="8">
        <f t="shared" si="47"/>
        <v>913</v>
      </c>
      <c r="AO59" s="8">
        <f t="shared" si="48"/>
        <v>2042</v>
      </c>
      <c r="AP59" s="17">
        <f t="shared" si="49"/>
        <v>33.45185185185185</v>
      </c>
      <c r="AQ59" s="17">
        <f t="shared" si="50"/>
        <v>65.26090064331666</v>
      </c>
      <c r="AR59" s="17">
        <f t="shared" si="51"/>
        <v>42.77335567658148</v>
      </c>
      <c r="AS59" s="18">
        <v>47206</v>
      </c>
      <c r="AT59" s="18">
        <v>5289</v>
      </c>
      <c r="AU59" s="18">
        <f t="shared" si="52"/>
        <v>52495</v>
      </c>
      <c r="AV59" s="19">
        <f t="shared" si="53"/>
        <v>7.149514892174724</v>
      </c>
      <c r="AW59" s="19">
        <f t="shared" si="54"/>
        <v>26.451124976366042</v>
      </c>
      <c r="AX59" s="19">
        <f t="shared" si="55"/>
        <v>2.391645129856374</v>
      </c>
      <c r="AY59" s="19">
        <f t="shared" si="56"/>
        <v>17.262242389865758</v>
      </c>
      <c r="AZ59" s="19">
        <f t="shared" si="57"/>
        <v>9.094199447566435</v>
      </c>
      <c r="BA59" s="19">
        <f t="shared" si="58"/>
        <v>3.8898942756452994</v>
      </c>
      <c r="BB59" s="11">
        <f t="shared" si="33"/>
        <v>42.77335567658148</v>
      </c>
    </row>
    <row r="60" spans="1:54" ht="12.75">
      <c r="A60" s="1" t="s">
        <v>123</v>
      </c>
      <c r="B60" s="12" t="s">
        <v>59</v>
      </c>
      <c r="C60" s="4">
        <v>13651</v>
      </c>
      <c r="D60" s="4">
        <v>3688</v>
      </c>
      <c r="E60" s="4">
        <f t="shared" si="36"/>
        <v>17339</v>
      </c>
      <c r="F60" s="4">
        <v>284</v>
      </c>
      <c r="G60" s="4">
        <v>12</v>
      </c>
      <c r="H60" s="4">
        <f t="shared" si="37"/>
        <v>296</v>
      </c>
      <c r="I60" s="13">
        <f t="shared" si="38"/>
        <v>1.7071342061249206</v>
      </c>
      <c r="J60" s="13">
        <f t="shared" si="39"/>
        <v>78.73003056693004</v>
      </c>
      <c r="K60" s="13">
        <f t="shared" si="40"/>
        <v>95.94594594594594</v>
      </c>
      <c r="L60" s="13">
        <f t="shared" si="20"/>
        <v>17.215915379015897</v>
      </c>
      <c r="M60" s="5">
        <f>2273+209</f>
        <v>2482</v>
      </c>
      <c r="O60" s="5">
        <f t="shared" si="21"/>
        <v>2482</v>
      </c>
      <c r="P60" s="5">
        <v>820</v>
      </c>
      <c r="R60" s="5">
        <f t="shared" si="22"/>
        <v>820</v>
      </c>
      <c r="S60" s="14">
        <f t="shared" si="23"/>
        <v>33.037872683319904</v>
      </c>
      <c r="T60" s="6">
        <v>415</v>
      </c>
      <c r="U60" s="6"/>
      <c r="V60" s="6">
        <f t="shared" si="24"/>
        <v>415</v>
      </c>
      <c r="W60" s="6">
        <v>294</v>
      </c>
      <c r="X60" s="6"/>
      <c r="Y60" s="6">
        <f t="shared" si="25"/>
        <v>294</v>
      </c>
      <c r="Z60" s="15">
        <f t="shared" si="34"/>
        <v>70.8433734939759</v>
      </c>
      <c r="AA60" s="15" t="e">
        <f t="shared" si="59"/>
        <v>#DIV/0!</v>
      </c>
      <c r="AB60" s="7">
        <v>38</v>
      </c>
      <c r="AC60" s="7"/>
      <c r="AD60" s="7">
        <f t="shared" si="26"/>
        <v>38</v>
      </c>
      <c r="AE60" s="7">
        <v>11</v>
      </c>
      <c r="AF60" s="7"/>
      <c r="AG60" s="7">
        <f t="shared" si="27"/>
        <v>11</v>
      </c>
      <c r="AH60" s="16">
        <f t="shared" si="41"/>
        <v>28.947368421052634</v>
      </c>
      <c r="AI60" s="16" t="e">
        <f t="shared" si="42"/>
        <v>#DIV/0!</v>
      </c>
      <c r="AJ60" s="8">
        <f t="shared" si="43"/>
        <v>2935</v>
      </c>
      <c r="AK60" s="8">
        <f t="shared" si="44"/>
        <v>0</v>
      </c>
      <c r="AL60" s="8">
        <f t="shared" si="45"/>
        <v>2935</v>
      </c>
      <c r="AM60" s="8">
        <f t="shared" si="46"/>
        <v>1125</v>
      </c>
      <c r="AN60" s="8">
        <f t="shared" si="47"/>
        <v>0</v>
      </c>
      <c r="AO60" s="8">
        <f t="shared" si="48"/>
        <v>1125</v>
      </c>
      <c r="AP60" s="17">
        <f t="shared" si="49"/>
        <v>38.33049403747871</v>
      </c>
      <c r="AQ60" s="17" t="e">
        <f t="shared" si="50"/>
        <v>#DIV/0!</v>
      </c>
      <c r="AR60" s="17">
        <f t="shared" si="51"/>
        <v>38.33049403747871</v>
      </c>
      <c r="AS60" s="18">
        <v>36479</v>
      </c>
      <c r="AT60" s="18"/>
      <c r="AU60" s="18">
        <f t="shared" si="52"/>
        <v>36479</v>
      </c>
      <c r="AV60" s="19">
        <f t="shared" si="53"/>
        <v>8.04572493763535</v>
      </c>
      <c r="AW60" s="19" t="e">
        <f t="shared" si="54"/>
        <v>#DIV/0!</v>
      </c>
      <c r="AX60" s="19">
        <f t="shared" si="55"/>
        <v>3.0839661174922557</v>
      </c>
      <c r="AY60" s="19" t="e">
        <f t="shared" si="56"/>
        <v>#DIV/0!</v>
      </c>
      <c r="AZ60" s="19">
        <f t="shared" si="57"/>
        <v>8.04572493763535</v>
      </c>
      <c r="BA60" s="19">
        <f t="shared" si="58"/>
        <v>3.0839661174922557</v>
      </c>
      <c r="BB60" s="11">
        <f t="shared" si="33"/>
        <v>38.33049403747871</v>
      </c>
    </row>
    <row r="61" spans="1:54" ht="12.75">
      <c r="A61" s="1" t="s">
        <v>124</v>
      </c>
      <c r="B61" s="12" t="s">
        <v>60</v>
      </c>
      <c r="C61" s="4">
        <v>11092</v>
      </c>
      <c r="D61" s="4">
        <v>4761</v>
      </c>
      <c r="E61" s="4">
        <f t="shared" si="36"/>
        <v>15853</v>
      </c>
      <c r="F61" s="4">
        <v>356</v>
      </c>
      <c r="G61" s="4">
        <v>7</v>
      </c>
      <c r="H61" s="4">
        <f t="shared" si="37"/>
        <v>363</v>
      </c>
      <c r="I61" s="13">
        <f t="shared" si="38"/>
        <v>2.289787421939065</v>
      </c>
      <c r="J61" s="13">
        <f t="shared" si="39"/>
        <v>69.96782943291491</v>
      </c>
      <c r="K61" s="13">
        <f t="shared" si="40"/>
        <v>98.07162534435263</v>
      </c>
      <c r="L61" s="13">
        <f t="shared" si="20"/>
        <v>28.103795911437714</v>
      </c>
      <c r="M61" s="5">
        <f>2870+553</f>
        <v>3423</v>
      </c>
      <c r="O61" s="5">
        <f t="shared" si="21"/>
        <v>3423</v>
      </c>
      <c r="P61" s="5">
        <f>1297+50</f>
        <v>1347</v>
      </c>
      <c r="R61" s="5">
        <f t="shared" si="22"/>
        <v>1347</v>
      </c>
      <c r="S61" s="14">
        <f t="shared" si="23"/>
        <v>39.35144609991236</v>
      </c>
      <c r="T61" s="6">
        <v>639</v>
      </c>
      <c r="U61" s="6"/>
      <c r="V61" s="6">
        <f t="shared" si="24"/>
        <v>639</v>
      </c>
      <c r="W61" s="6">
        <v>453</v>
      </c>
      <c r="X61" s="6"/>
      <c r="Y61" s="6">
        <f t="shared" si="25"/>
        <v>453</v>
      </c>
      <c r="Z61" s="15">
        <f t="shared" si="34"/>
        <v>70.89201877934272</v>
      </c>
      <c r="AA61" s="15" t="e">
        <f t="shared" si="59"/>
        <v>#DIV/0!</v>
      </c>
      <c r="AB61" s="7">
        <v>152</v>
      </c>
      <c r="AC61" s="7"/>
      <c r="AD61" s="7">
        <f t="shared" si="26"/>
        <v>152</v>
      </c>
      <c r="AE61" s="7">
        <v>62</v>
      </c>
      <c r="AF61" s="7"/>
      <c r="AG61" s="7">
        <f t="shared" si="27"/>
        <v>62</v>
      </c>
      <c r="AH61" s="16">
        <f t="shared" si="41"/>
        <v>40.78947368421053</v>
      </c>
      <c r="AI61" s="16" t="e">
        <f t="shared" si="42"/>
        <v>#DIV/0!</v>
      </c>
      <c r="AJ61" s="8">
        <f t="shared" si="43"/>
        <v>4214</v>
      </c>
      <c r="AK61" s="8">
        <f t="shared" si="44"/>
        <v>0</v>
      </c>
      <c r="AL61" s="8">
        <f t="shared" si="45"/>
        <v>4214</v>
      </c>
      <c r="AM61" s="8">
        <f t="shared" si="46"/>
        <v>1862</v>
      </c>
      <c r="AN61" s="8">
        <f t="shared" si="47"/>
        <v>0</v>
      </c>
      <c r="AO61" s="8">
        <f t="shared" si="48"/>
        <v>1862</v>
      </c>
      <c r="AP61" s="17">
        <f t="shared" si="49"/>
        <v>44.18604651162791</v>
      </c>
      <c r="AQ61" s="17" t="e">
        <f t="shared" si="50"/>
        <v>#DIV/0!</v>
      </c>
      <c r="AR61" s="17">
        <f t="shared" si="51"/>
        <v>44.18604651162791</v>
      </c>
      <c r="AS61" s="18">
        <v>39687</v>
      </c>
      <c r="AT61" s="18"/>
      <c r="AU61" s="18">
        <f t="shared" si="52"/>
        <v>39687</v>
      </c>
      <c r="AV61" s="19">
        <f t="shared" si="53"/>
        <v>10.618086527074357</v>
      </c>
      <c r="AW61" s="19" t="e">
        <f t="shared" si="54"/>
        <v>#DIV/0!</v>
      </c>
      <c r="AX61" s="19">
        <f t="shared" si="55"/>
        <v>4.691712651497972</v>
      </c>
      <c r="AY61" s="19" t="e">
        <f t="shared" si="56"/>
        <v>#DIV/0!</v>
      </c>
      <c r="AZ61" s="19">
        <f t="shared" si="57"/>
        <v>10.618086527074357</v>
      </c>
      <c r="BA61" s="19">
        <f t="shared" si="58"/>
        <v>4.691712651497972</v>
      </c>
      <c r="BB61" s="11">
        <f t="shared" si="33"/>
        <v>44.18604651162791</v>
      </c>
    </row>
    <row r="62" spans="1:54" ht="12.75">
      <c r="A62" s="1" t="s">
        <v>125</v>
      </c>
      <c r="B62" s="12" t="s">
        <v>61</v>
      </c>
      <c r="C62" s="4">
        <v>6355</v>
      </c>
      <c r="D62" s="4">
        <v>21270</v>
      </c>
      <c r="E62" s="4">
        <f t="shared" si="36"/>
        <v>27625</v>
      </c>
      <c r="F62" s="4">
        <v>258</v>
      </c>
      <c r="G62" s="4">
        <v>68</v>
      </c>
      <c r="H62" s="4">
        <f t="shared" si="37"/>
        <v>326</v>
      </c>
      <c r="I62" s="13">
        <f t="shared" si="38"/>
        <v>1.1800904977375566</v>
      </c>
      <c r="J62" s="13">
        <f t="shared" si="39"/>
        <v>23.004524886877828</v>
      </c>
      <c r="K62" s="13">
        <f t="shared" si="40"/>
        <v>79.14110429447852</v>
      </c>
      <c r="L62" s="13">
        <f t="shared" si="20"/>
        <v>56.13657940760069</v>
      </c>
      <c r="M62" s="5">
        <f>2538+386</f>
        <v>2924</v>
      </c>
      <c r="O62" s="5">
        <f t="shared" si="21"/>
        <v>2924</v>
      </c>
      <c r="P62" s="5">
        <f>774+4</f>
        <v>778</v>
      </c>
      <c r="R62" s="5">
        <f t="shared" si="22"/>
        <v>778</v>
      </c>
      <c r="S62" s="14">
        <f t="shared" si="23"/>
        <v>26.607387140902873</v>
      </c>
      <c r="T62" s="6">
        <v>883</v>
      </c>
      <c r="U62" s="6"/>
      <c r="V62" s="6">
        <f t="shared" si="24"/>
        <v>883</v>
      </c>
      <c r="W62" s="6">
        <v>474</v>
      </c>
      <c r="X62" s="6"/>
      <c r="Y62" s="6">
        <f t="shared" si="25"/>
        <v>474</v>
      </c>
      <c r="Z62" s="15">
        <f t="shared" si="34"/>
        <v>53.680634201585505</v>
      </c>
      <c r="AA62" s="15" t="e">
        <f t="shared" si="59"/>
        <v>#DIV/0!</v>
      </c>
      <c r="AB62" s="7">
        <v>205</v>
      </c>
      <c r="AC62" s="7"/>
      <c r="AD62" s="7">
        <f t="shared" si="26"/>
        <v>205</v>
      </c>
      <c r="AE62" s="7">
        <v>45</v>
      </c>
      <c r="AF62" s="7"/>
      <c r="AG62" s="7">
        <f t="shared" si="27"/>
        <v>45</v>
      </c>
      <c r="AH62" s="16">
        <f t="shared" si="41"/>
        <v>21.951219512195124</v>
      </c>
      <c r="AI62" s="16" t="e">
        <f t="shared" si="42"/>
        <v>#DIV/0!</v>
      </c>
      <c r="AJ62" s="8">
        <f t="shared" si="43"/>
        <v>4012</v>
      </c>
      <c r="AK62" s="8">
        <f t="shared" si="44"/>
        <v>0</v>
      </c>
      <c r="AL62" s="8">
        <f t="shared" si="45"/>
        <v>4012</v>
      </c>
      <c r="AM62" s="8">
        <f t="shared" si="46"/>
        <v>1297</v>
      </c>
      <c r="AN62" s="8">
        <f t="shared" si="47"/>
        <v>0</v>
      </c>
      <c r="AO62" s="8">
        <f t="shared" si="48"/>
        <v>1297</v>
      </c>
      <c r="AP62" s="17">
        <f t="shared" si="49"/>
        <v>32.328015952143566</v>
      </c>
      <c r="AQ62" s="17" t="e">
        <f t="shared" si="50"/>
        <v>#DIV/0!</v>
      </c>
      <c r="AR62" s="17">
        <f t="shared" si="51"/>
        <v>32.328015952143566</v>
      </c>
      <c r="AS62" s="18">
        <v>63329</v>
      </c>
      <c r="AT62" s="18"/>
      <c r="AU62" s="18">
        <f t="shared" si="52"/>
        <v>63329</v>
      </c>
      <c r="AV62" s="19">
        <f t="shared" si="53"/>
        <v>6.335170301125867</v>
      </c>
      <c r="AW62" s="19" t="e">
        <f t="shared" si="54"/>
        <v>#DIV/0!</v>
      </c>
      <c r="AX62" s="19">
        <f t="shared" si="55"/>
        <v>2.048034865543432</v>
      </c>
      <c r="AY62" s="19" t="e">
        <f t="shared" si="56"/>
        <v>#DIV/0!</v>
      </c>
      <c r="AZ62" s="19">
        <f t="shared" si="57"/>
        <v>6.335170301125867</v>
      </c>
      <c r="BA62" s="19">
        <f t="shared" si="58"/>
        <v>2.048034865543432</v>
      </c>
      <c r="BB62" s="11">
        <f t="shared" si="33"/>
        <v>32.328015952143566</v>
      </c>
    </row>
    <row r="63" spans="1:54" ht="12.75">
      <c r="A63" s="1" t="s">
        <v>126</v>
      </c>
      <c r="B63" s="12" t="s">
        <v>62</v>
      </c>
      <c r="C63" s="4">
        <v>6331</v>
      </c>
      <c r="D63" s="4">
        <v>10308</v>
      </c>
      <c r="E63" s="4">
        <f t="shared" si="36"/>
        <v>16639</v>
      </c>
      <c r="F63" s="4">
        <v>283</v>
      </c>
      <c r="G63" s="4">
        <v>71</v>
      </c>
      <c r="H63" s="4">
        <f t="shared" si="37"/>
        <v>354</v>
      </c>
      <c r="I63" s="13">
        <f t="shared" si="38"/>
        <v>2.1275317026263596</v>
      </c>
      <c r="J63" s="13">
        <f t="shared" si="39"/>
        <v>38.04916160826973</v>
      </c>
      <c r="K63" s="13">
        <f t="shared" si="40"/>
        <v>79.94350282485875</v>
      </c>
      <c r="L63" s="13">
        <f t="shared" si="20"/>
        <v>41.89434121658903</v>
      </c>
      <c r="M63" s="5">
        <f>2100+1601</f>
        <v>3701</v>
      </c>
      <c r="O63" s="5">
        <f t="shared" si="21"/>
        <v>3701</v>
      </c>
      <c r="P63" s="5">
        <f>566+3</f>
        <v>569</v>
      </c>
      <c r="R63" s="5">
        <f t="shared" si="22"/>
        <v>569</v>
      </c>
      <c r="S63" s="14">
        <f t="shared" si="23"/>
        <v>15.374223182923535</v>
      </c>
      <c r="T63" s="6">
        <v>448</v>
      </c>
      <c r="U63" s="6"/>
      <c r="V63" s="6">
        <f t="shared" si="24"/>
        <v>448</v>
      </c>
      <c r="W63" s="6">
        <v>278</v>
      </c>
      <c r="X63" s="6"/>
      <c r="Y63" s="6">
        <f t="shared" si="25"/>
        <v>278</v>
      </c>
      <c r="Z63" s="15">
        <f t="shared" si="34"/>
        <v>62.05357142857143</v>
      </c>
      <c r="AA63" s="15" t="e">
        <f t="shared" si="59"/>
        <v>#DIV/0!</v>
      </c>
      <c r="AB63" s="7">
        <v>163</v>
      </c>
      <c r="AC63" s="7"/>
      <c r="AD63" s="7">
        <f t="shared" si="26"/>
        <v>163</v>
      </c>
      <c r="AE63" s="7">
        <v>26</v>
      </c>
      <c r="AF63" s="7"/>
      <c r="AG63" s="7">
        <f t="shared" si="27"/>
        <v>26</v>
      </c>
      <c r="AH63" s="16">
        <f t="shared" si="41"/>
        <v>15.950920245398773</v>
      </c>
      <c r="AI63" s="16" t="e">
        <f t="shared" si="42"/>
        <v>#DIV/0!</v>
      </c>
      <c r="AJ63" s="8">
        <f t="shared" si="43"/>
        <v>4312</v>
      </c>
      <c r="AK63" s="8">
        <f t="shared" si="44"/>
        <v>0</v>
      </c>
      <c r="AL63" s="8">
        <f t="shared" si="45"/>
        <v>4312</v>
      </c>
      <c r="AM63" s="8">
        <f t="shared" si="46"/>
        <v>873</v>
      </c>
      <c r="AN63" s="8">
        <f t="shared" si="47"/>
        <v>0</v>
      </c>
      <c r="AO63" s="8">
        <f t="shared" si="48"/>
        <v>873</v>
      </c>
      <c r="AP63" s="17">
        <f t="shared" si="49"/>
        <v>20.24582560296846</v>
      </c>
      <c r="AQ63" s="17" t="e">
        <f t="shared" si="50"/>
        <v>#DIV/0!</v>
      </c>
      <c r="AR63" s="17">
        <f t="shared" si="51"/>
        <v>20.24582560296846</v>
      </c>
      <c r="AS63" s="18">
        <v>42590</v>
      </c>
      <c r="AT63" s="18"/>
      <c r="AU63" s="18">
        <f t="shared" si="52"/>
        <v>42590</v>
      </c>
      <c r="AV63" s="19">
        <f t="shared" si="53"/>
        <v>10.124442357360882</v>
      </c>
      <c r="AW63" s="19" t="e">
        <f t="shared" si="54"/>
        <v>#DIV/0!</v>
      </c>
      <c r="AX63" s="19">
        <f t="shared" si="55"/>
        <v>2.0497769429443533</v>
      </c>
      <c r="AY63" s="19" t="e">
        <f t="shared" si="56"/>
        <v>#DIV/0!</v>
      </c>
      <c r="AZ63" s="19">
        <f t="shared" si="57"/>
        <v>10.124442357360882</v>
      </c>
      <c r="BA63" s="19">
        <f t="shared" si="58"/>
        <v>2.0497769429443533</v>
      </c>
      <c r="BB63" s="11">
        <f t="shared" si="33"/>
        <v>20.245825602968463</v>
      </c>
    </row>
    <row r="64" spans="1:54" ht="12.75">
      <c r="A64" s="1" t="s">
        <v>127</v>
      </c>
      <c r="B64" s="12" t="s">
        <v>63</v>
      </c>
      <c r="C64" s="4">
        <v>11564</v>
      </c>
      <c r="D64" s="4">
        <v>3507</v>
      </c>
      <c r="E64" s="4">
        <f t="shared" si="36"/>
        <v>15071</v>
      </c>
      <c r="F64" s="4">
        <v>80</v>
      </c>
      <c r="G64" s="4">
        <v>4</v>
      </c>
      <c r="H64" s="4">
        <f t="shared" si="37"/>
        <v>84</v>
      </c>
      <c r="I64" s="13">
        <f t="shared" si="38"/>
        <v>0.5573618207152811</v>
      </c>
      <c r="J64" s="13">
        <f t="shared" si="39"/>
        <v>76.73014398513702</v>
      </c>
      <c r="K64" s="13">
        <f t="shared" si="40"/>
        <v>95.23809523809523</v>
      </c>
      <c r="L64" s="13">
        <f t="shared" si="20"/>
        <v>18.507951252958208</v>
      </c>
      <c r="M64" s="5">
        <f>1903+283</f>
        <v>2186</v>
      </c>
      <c r="O64" s="5">
        <f t="shared" si="21"/>
        <v>2186</v>
      </c>
      <c r="P64" s="5">
        <v>487</v>
      </c>
      <c r="R64" s="5">
        <f t="shared" si="22"/>
        <v>487</v>
      </c>
      <c r="S64" s="14">
        <f t="shared" si="23"/>
        <v>22.278133577310154</v>
      </c>
      <c r="T64" s="6">
        <v>391</v>
      </c>
      <c r="U64" s="6"/>
      <c r="V64" s="6">
        <f t="shared" si="24"/>
        <v>391</v>
      </c>
      <c r="W64" s="6">
        <v>187</v>
      </c>
      <c r="X64" s="6"/>
      <c r="Y64" s="6">
        <f t="shared" si="25"/>
        <v>187</v>
      </c>
      <c r="Z64" s="15">
        <f t="shared" si="34"/>
        <v>47.82608695652174</v>
      </c>
      <c r="AA64" s="15" t="e">
        <f t="shared" si="59"/>
        <v>#DIV/0!</v>
      </c>
      <c r="AB64" s="7">
        <v>49</v>
      </c>
      <c r="AC64" s="7"/>
      <c r="AD64" s="7">
        <f t="shared" si="26"/>
        <v>49</v>
      </c>
      <c r="AE64" s="7">
        <v>13</v>
      </c>
      <c r="AF64" s="7"/>
      <c r="AG64" s="7">
        <f t="shared" si="27"/>
        <v>13</v>
      </c>
      <c r="AH64" s="16">
        <f t="shared" si="41"/>
        <v>26.53061224489796</v>
      </c>
      <c r="AI64" s="16" t="e">
        <f t="shared" si="42"/>
        <v>#DIV/0!</v>
      </c>
      <c r="AJ64" s="8">
        <f t="shared" si="43"/>
        <v>2626</v>
      </c>
      <c r="AK64" s="8">
        <f t="shared" si="44"/>
        <v>0</v>
      </c>
      <c r="AL64" s="8">
        <f t="shared" si="45"/>
        <v>2626</v>
      </c>
      <c r="AM64" s="8">
        <f t="shared" si="46"/>
        <v>687</v>
      </c>
      <c r="AN64" s="8">
        <f t="shared" si="47"/>
        <v>0</v>
      </c>
      <c r="AO64" s="8">
        <f t="shared" si="48"/>
        <v>687</v>
      </c>
      <c r="AP64" s="17">
        <f t="shared" si="49"/>
        <v>26.16146230007616</v>
      </c>
      <c r="AQ64" s="17" t="e">
        <f t="shared" si="50"/>
        <v>#DIV/0!</v>
      </c>
      <c r="AR64" s="17">
        <f t="shared" si="51"/>
        <v>26.16146230007616</v>
      </c>
      <c r="AS64" s="18">
        <v>31473</v>
      </c>
      <c r="AT64" s="18"/>
      <c r="AU64" s="18">
        <f t="shared" si="52"/>
        <v>31473</v>
      </c>
      <c r="AV64" s="19">
        <f t="shared" si="53"/>
        <v>8.343659644774887</v>
      </c>
      <c r="AW64" s="19" t="e">
        <f t="shared" si="54"/>
        <v>#DIV/0!</v>
      </c>
      <c r="AX64" s="19">
        <f t="shared" si="55"/>
        <v>2.1828233724144503</v>
      </c>
      <c r="AY64" s="19" t="e">
        <f t="shared" si="56"/>
        <v>#DIV/0!</v>
      </c>
      <c r="AZ64" s="19">
        <f t="shared" si="57"/>
        <v>8.343659644774887</v>
      </c>
      <c r="BA64" s="19">
        <f t="shared" si="58"/>
        <v>2.1828233724144503</v>
      </c>
      <c r="BB64" s="11">
        <f t="shared" si="33"/>
        <v>26.16146230007616</v>
      </c>
    </row>
    <row r="65" spans="2:54" ht="12.75">
      <c r="B65" s="4" t="s">
        <v>64</v>
      </c>
      <c r="I65" s="13"/>
      <c r="J65" s="13"/>
      <c r="K65" s="13"/>
      <c r="L65" s="13"/>
      <c r="N65" s="5">
        <f>17264+202</f>
        <v>17466</v>
      </c>
      <c r="O65" s="5">
        <f t="shared" si="21"/>
        <v>17466</v>
      </c>
      <c r="Q65" s="5">
        <f>14453+134+12</f>
        <v>14599</v>
      </c>
      <c r="R65" s="5">
        <f t="shared" si="22"/>
        <v>14599</v>
      </c>
      <c r="S65" s="14">
        <f t="shared" si="23"/>
        <v>83.5852513454712</v>
      </c>
      <c r="T65" s="6"/>
      <c r="U65" s="6">
        <v>13366</v>
      </c>
      <c r="V65" s="6">
        <f t="shared" si="24"/>
        <v>13366</v>
      </c>
      <c r="W65" s="6"/>
      <c r="X65" s="6">
        <f>10476+68</f>
        <v>10544</v>
      </c>
      <c r="Y65" s="6">
        <f t="shared" si="25"/>
        <v>10544</v>
      </c>
      <c r="Z65" s="15" t="e">
        <f t="shared" si="34"/>
        <v>#DIV/0!</v>
      </c>
      <c r="AA65" s="15">
        <f t="shared" si="59"/>
        <v>78.88672751758192</v>
      </c>
      <c r="AB65" s="7"/>
      <c r="AC65" s="7">
        <v>1967</v>
      </c>
      <c r="AD65" s="7">
        <f t="shared" si="26"/>
        <v>1967</v>
      </c>
      <c r="AE65" s="7"/>
      <c r="AF65" s="7">
        <v>1271</v>
      </c>
      <c r="AG65" s="7">
        <f t="shared" si="27"/>
        <v>1271</v>
      </c>
      <c r="AH65" s="16"/>
      <c r="AI65" s="16">
        <f>AF65/AC65*100</f>
        <v>64.61616675139807</v>
      </c>
      <c r="AJ65" s="8"/>
      <c r="AK65" s="8">
        <f>N65+U65+AC65</f>
        <v>32799</v>
      </c>
      <c r="AL65" s="8">
        <f t="shared" si="45"/>
        <v>32799</v>
      </c>
      <c r="AM65" s="8">
        <f t="shared" si="46"/>
        <v>0</v>
      </c>
      <c r="AN65" s="8">
        <f t="shared" si="47"/>
        <v>26414</v>
      </c>
      <c r="AO65" s="8">
        <f t="shared" si="48"/>
        <v>26414</v>
      </c>
      <c r="AP65" s="17" t="e">
        <f t="shared" si="49"/>
        <v>#DIV/0!</v>
      </c>
      <c r="AQ65" s="17">
        <f t="shared" si="50"/>
        <v>80.53294307753285</v>
      </c>
      <c r="AR65" s="17">
        <f t="shared" si="51"/>
        <v>80.53294307753285</v>
      </c>
      <c r="AS65" s="18"/>
      <c r="AT65" s="18">
        <v>213430</v>
      </c>
      <c r="AU65" s="18">
        <f t="shared" si="52"/>
        <v>213430</v>
      </c>
      <c r="AV65" s="19">
        <f>AJ65/AT65*100</f>
        <v>0</v>
      </c>
      <c r="AW65" s="19" t="e">
        <v>#VALUE!</v>
      </c>
      <c r="AX65" s="19">
        <f>AM65/AT65*100</f>
        <v>0</v>
      </c>
      <c r="AY65" s="19" t="e">
        <v>#VALUE!</v>
      </c>
      <c r="AZ65" s="19">
        <f t="shared" si="57"/>
        <v>15.367567820831185</v>
      </c>
      <c r="BA65" s="19">
        <f t="shared" si="58"/>
        <v>12.375954645551236</v>
      </c>
      <c r="BB65" s="11">
        <f t="shared" si="33"/>
        <v>80.53294307753286</v>
      </c>
    </row>
    <row r="66" spans="13:54" ht="12.75">
      <c r="M66" s="5">
        <f>SUM(M2:M64)</f>
        <v>274425</v>
      </c>
      <c r="N66" s="5">
        <f>SUM(N2:N65)</f>
        <v>47148</v>
      </c>
      <c r="O66" s="5">
        <f t="shared" si="21"/>
        <v>321573</v>
      </c>
      <c r="P66" s="5">
        <f>SUM(P2:P64)</f>
        <v>93615</v>
      </c>
      <c r="Q66" s="5">
        <f>SUM(Q2:Q65)</f>
        <v>34381</v>
      </c>
      <c r="R66" s="5">
        <f t="shared" si="22"/>
        <v>127996</v>
      </c>
      <c r="S66" s="14">
        <f t="shared" si="23"/>
        <v>39.80309292135845</v>
      </c>
      <c r="T66" s="6">
        <f>SUM(T2:T64)</f>
        <v>66390</v>
      </c>
      <c r="U66" s="6">
        <f>SUM(U2:U65)</f>
        <v>26189</v>
      </c>
      <c r="V66" s="6">
        <f t="shared" si="24"/>
        <v>92579</v>
      </c>
      <c r="W66" s="6">
        <f>SUM(W2:W65)</f>
        <v>44294</v>
      </c>
      <c r="X66" s="6">
        <f>SUM(X2:X65)</f>
        <v>20573</v>
      </c>
      <c r="Y66" s="6">
        <f t="shared" si="25"/>
        <v>64867</v>
      </c>
      <c r="Z66" s="15">
        <f t="shared" si="34"/>
        <v>66.7178791986745</v>
      </c>
      <c r="AA66" s="15">
        <f t="shared" si="59"/>
        <v>78.55588224063538</v>
      </c>
      <c r="AB66" s="20">
        <f>SUM(AB2:AB65)</f>
        <v>13233</v>
      </c>
      <c r="AC66" s="20">
        <f>SUM(AC2:AC65)</f>
        <v>5839</v>
      </c>
      <c r="AD66" s="7">
        <f t="shared" si="26"/>
        <v>19072</v>
      </c>
      <c r="AE66" s="20">
        <f>SUM(AE2:AE65)</f>
        <v>3800</v>
      </c>
      <c r="AF66" s="20">
        <f>SUM(AF2:AF65)</f>
        <v>3555</v>
      </c>
      <c r="AG66" s="7">
        <f t="shared" si="27"/>
        <v>7355</v>
      </c>
      <c r="AH66" s="21">
        <f>AE66/AB66*100</f>
        <v>28.716088566462634</v>
      </c>
      <c r="AI66" s="21">
        <f>AF66/AC66*100</f>
        <v>60.88371296454872</v>
      </c>
      <c r="AJ66" s="8">
        <f>M66+T66+AB66</f>
        <v>354048</v>
      </c>
      <c r="AK66" s="8">
        <f>N66+U66+AC66</f>
        <v>79176</v>
      </c>
      <c r="AL66" s="8">
        <f>AJ66+AK66</f>
        <v>433224</v>
      </c>
      <c r="AM66" s="8">
        <f t="shared" si="46"/>
        <v>141709</v>
      </c>
      <c r="AN66" s="8">
        <f t="shared" si="47"/>
        <v>58509</v>
      </c>
      <c r="AO66" s="8">
        <f>AM66+AN66</f>
        <v>200218</v>
      </c>
      <c r="AP66" s="17">
        <f t="shared" si="49"/>
        <v>40.02536379248012</v>
      </c>
      <c r="AQ66" s="22">
        <f t="shared" si="50"/>
        <v>73.89739314943922</v>
      </c>
      <c r="AR66" s="22">
        <f t="shared" si="51"/>
        <v>46.21581445164626</v>
      </c>
      <c r="AS66" s="23">
        <f>SUM(AS2:AS65)</f>
        <v>3754104</v>
      </c>
      <c r="AT66" s="23">
        <f>SUM(AT2:AT65)</f>
        <v>493340</v>
      </c>
      <c r="AU66" s="23">
        <f>AS66+AT66</f>
        <v>4247444</v>
      </c>
      <c r="AV66" s="19">
        <f>AJ66/AS66*100</f>
        <v>9.430958758734441</v>
      </c>
      <c r="AW66" s="19">
        <f>AK66/AT66*100</f>
        <v>16.048972311184983</v>
      </c>
      <c r="AX66" s="19">
        <f>AM66/AS66*100</f>
        <v>3.774775552302227</v>
      </c>
      <c r="AY66" s="19">
        <f>AN66/AT66*100</f>
        <v>11.85977216524101</v>
      </c>
      <c r="AZ66" s="19">
        <f t="shared" si="57"/>
        <v>10.19964006588433</v>
      </c>
      <c r="BA66" s="19">
        <f t="shared" si="58"/>
        <v>4.7138467275848726</v>
      </c>
      <c r="BB66" s="11">
        <f t="shared" si="33"/>
        <v>46.21581445164627</v>
      </c>
    </row>
    <row r="67" spans="20:35" ht="12.75">
      <c r="T67" s="6"/>
      <c r="U67" s="6"/>
      <c r="V67" s="6"/>
      <c r="W67" s="6"/>
      <c r="X67" s="6"/>
      <c r="Y67" s="6"/>
      <c r="Z67" s="15" t="e">
        <f t="shared" si="34"/>
        <v>#DIV/0!</v>
      </c>
      <c r="AA67" s="15" t="e">
        <f t="shared" si="59"/>
        <v>#DIV/0!</v>
      </c>
      <c r="AB67" s="7"/>
      <c r="AC67" s="7"/>
      <c r="AD67" s="7"/>
      <c r="AE67" s="7"/>
      <c r="AF67" s="7"/>
      <c r="AG67" s="7"/>
      <c r="AH67" s="16"/>
      <c r="AI67" s="16"/>
    </row>
    <row r="68" spans="20:35" ht="12.75">
      <c r="T68" s="6"/>
      <c r="U68" s="6"/>
      <c r="V68" s="6"/>
      <c r="W68" s="6"/>
      <c r="X68" s="6"/>
      <c r="Y68" s="6"/>
      <c r="Z68" s="6"/>
      <c r="AA68" s="6"/>
      <c r="AB68" s="7"/>
      <c r="AC68" s="7"/>
      <c r="AD68" s="7"/>
      <c r="AE68" s="7"/>
      <c r="AF68" s="7"/>
      <c r="AG68" s="7"/>
      <c r="AH68" s="16"/>
      <c r="AI68" s="16"/>
    </row>
  </sheetData>
  <sheetProtection/>
  <printOptions/>
  <pageMargins left="0.5" right="0.5" top="0.5" bottom="0.5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2005-08-01T16:31:36Z</dcterms:created>
  <dcterms:modified xsi:type="dcterms:W3CDTF">2017-09-03T09:41:57Z</dcterms:modified>
  <cp:category/>
  <cp:version/>
  <cp:contentType/>
  <cp:contentStatus/>
</cp:coreProperties>
</file>